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willyvandemortel/Desktop/Difesa Sports 2024/Wedstrijden/Taekyon Open zondag 24 NOV/"/>
    </mc:Choice>
  </mc:AlternateContent>
  <xr:revisionPtr revIDLastSave="0" documentId="13_ncr:1_{2999DB2F-13E0-D94E-B869-E5AB1DF66771}" xr6:coauthVersionLast="47" xr6:coauthVersionMax="47" xr10:uidLastSave="{00000000-0000-0000-0000-000000000000}"/>
  <workbookProtection workbookAlgorithmName="SHA-512" workbookHashValue="gcrCJTMRS/e6jAFNO1tqpcvPElE9BrEnMIOrRS+5A6EJKvEgrJeYE5t+BRd+45i8cOOSBq+7Ye9LFxwm2bkHQw==" workbookSaltValue="Vxi21e/qJTUGNpF8sR0Clw==" workbookSpinCount="100000" lockStructure="1"/>
  <bookViews>
    <workbookView xWindow="1160" yWindow="880" windowWidth="23900" windowHeight="19100" xr2:uid="{00000000-000D-0000-FFFF-FFFF00000000}"/>
  </bookViews>
  <sheets>
    <sheet name="Taekyon Toernooi" sheetId="1" r:id="rId1"/>
    <sheet name="Selecties" sheetId="2" state="hidden" r:id="rId2"/>
  </sheets>
  <definedNames>
    <definedName name="Inschrijf_geld_dubbel_item">Selecties!$C$140</definedName>
    <definedName name="Inschrijf_geld_single_item">Selecties!$C$139</definedName>
    <definedName name="Selectie_copyright">Selecties!$C$5</definedName>
    <definedName name="Selectie_Geslacht">Selecties!$F$97:$F$98</definedName>
    <definedName name="Selectie_Gewicht">Selecties!$P$79:$P$183</definedName>
    <definedName name="Selectie_graduatie_deelnemers">Selecties!$E$79:$E$92</definedName>
    <definedName name="Selectie_graduatie_range">Selecties!$E$79:$G$92</definedName>
    <definedName name="Selectie_graduatie_range_names">Selecties!$J$79:$K$96</definedName>
    <definedName name="Selectie_graduatie_scheids">Selecties!$B$79:$B$89</definedName>
    <definedName name="Selectie_JN">Selecties!$O$9:$O$10</definedName>
    <definedName name="Selectie_Licentie">Selecties!$H$79:$H$82</definedName>
    <definedName name="Selectie_mail">Selecties!$C$4</definedName>
    <definedName name="selectie_mail_date">Selecties!$D$8</definedName>
    <definedName name="selectie_onwaar">Selecties!$P$10</definedName>
    <definedName name="selectie_spar_names_range">Selecties!$P$79:$Q$157</definedName>
    <definedName name="selectie_tournament_date">Selecties!$B$8</definedName>
    <definedName name="Selectie_Voorkeur">Selecties!$B$130:$B$131</definedName>
    <definedName name="selectie_waar">Selecties!$P$9</definedName>
    <definedName name="selectie_weight_range_jeugd_jongens_range">Selecties!$C$154:$D$162</definedName>
    <definedName name="selectie_weight_range_jeugd_meisjes_range">Selecties!$E$154:$F$162</definedName>
    <definedName name="selectie_weight_range_junior_dames_range">Selecties!$I$154:$J$162</definedName>
    <definedName name="selectie_weight_range_junior_heren_range">Selecties!$G$154:$H$162</definedName>
    <definedName name="selectie_weight_range_senior_dames_range">Selecties!$M$154:$N$162</definedName>
    <definedName name="selectie_weight_range_senior_heren_range">Selecties!$K$154:$L$162</definedName>
    <definedName name="selectie_weight_ranges">Selecties!$C$167:$L$172</definedName>
    <definedName name="Selecties_boetes_on">Selecties!$L$8</definedName>
    <definedName name="Selecties_ja">Selecties!$O$9</definedName>
    <definedName name="Selecties_kosten_on">Selecties!$J$8</definedName>
    <definedName name="Selecties_Leeftijd_junior_min">Selecties!$C$107</definedName>
    <definedName name="Selecties_Leeftijd_senior_min">Selecties!$C$108</definedName>
    <definedName name="Selecties_name_jeugd_m">Selecties!$E$107</definedName>
    <definedName name="Selecties_name_jeugd_v">Selecties!$F$107</definedName>
    <definedName name="Selecties_name_junior_m">Selecties!$E$108</definedName>
    <definedName name="Selecties_name_junior_v">Selecties!$F$108</definedName>
    <definedName name="Selecties_name_senior_m">Selecties!$E$109</definedName>
    <definedName name="Selecties_name_senior_v">Selecties!$F$109</definedName>
    <definedName name="Selecties_nee">Selecties!$O$10</definedName>
    <definedName name="Selection_leeft_class_Jeugd">Selecties!$D$107</definedName>
    <definedName name="Selection_leeft_class_Junior">Selecties!$D$108</definedName>
    <definedName name="Selection_leeft_class_Senior">Selecties!$D$109</definedName>
    <definedName name="tk_coach_boete">'Taekyon Toernooi'!$Z$14</definedName>
    <definedName name="tk_deeln_roepnaam">'Taekyon Toernooi'!$C$25:$C$74</definedName>
    <definedName name="tk_nr__coach_toegestaan">'Taekyon Toernooi'!$Y$14</definedName>
    <definedName name="tk_nr_coach">'Taekyon Toernooi'!$X$14</definedName>
    <definedName name="tk_nr_deelnemers">'Taekyon Toernooi'!$S$14</definedName>
    <definedName name="tk_nr_Scheids">'Taekyon Toernooi'!$T$14</definedName>
    <definedName name="tk_nr_scheids_verplicht">'Taekyon Toernooi'!$U$14</definedName>
    <definedName name="tk_scheids_boete">'Taekyon Toernooi'!$V$14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4" i="2" l="1"/>
  <c r="L103" i="2"/>
  <c r="X14" i="1"/>
  <c r="M41" i="2"/>
  <c r="I41" i="2"/>
  <c r="B41" i="2" s="1"/>
  <c r="M40" i="2" l="1"/>
  <c r="I40" i="2"/>
  <c r="B40" i="2" s="1"/>
  <c r="P80" i="2" l="1"/>
  <c r="P81" i="2" s="1"/>
  <c r="P82" i="2" s="1"/>
  <c r="P83" i="2" s="1"/>
  <c r="P84" i="2" s="1"/>
  <c r="P85" i="2" s="1"/>
  <c r="P86" i="2" s="1"/>
  <c r="P87" i="2" s="1"/>
  <c r="P88" i="2" s="1"/>
  <c r="P89" i="2" s="1"/>
  <c r="P90" i="2" s="1"/>
  <c r="P91" i="2" s="1"/>
  <c r="P92" i="2" s="1"/>
  <c r="P93" i="2" s="1"/>
  <c r="P94" i="2" s="1"/>
  <c r="P95" i="2" s="1"/>
  <c r="P96" i="2" s="1"/>
  <c r="P97" i="2" s="1"/>
  <c r="P98" i="2" s="1"/>
  <c r="P99" i="2" s="1"/>
  <c r="P100" i="2" s="1"/>
  <c r="P101" i="2" s="1"/>
  <c r="P102" i="2" s="1"/>
  <c r="P103" i="2" s="1"/>
  <c r="P104" i="2" s="1"/>
  <c r="P105" i="2" s="1"/>
  <c r="P106" i="2" s="1"/>
  <c r="P107" i="2" s="1"/>
  <c r="P108" i="2" s="1"/>
  <c r="P109" i="2" s="1"/>
  <c r="P110" i="2" s="1"/>
  <c r="P111" i="2" s="1"/>
  <c r="P112" i="2" s="1"/>
  <c r="P113" i="2" s="1"/>
  <c r="P114" i="2" s="1"/>
  <c r="P115" i="2" s="1"/>
  <c r="P116" i="2" s="1"/>
  <c r="P117" i="2" s="1"/>
  <c r="P118" i="2" s="1"/>
  <c r="P119" i="2" s="1"/>
  <c r="P120" i="2" s="1"/>
  <c r="P121" i="2" s="1"/>
  <c r="P122" i="2" s="1"/>
  <c r="P123" i="2" s="1"/>
  <c r="P124" i="2" s="1"/>
  <c r="P125" i="2" s="1"/>
  <c r="P126" i="2" s="1"/>
  <c r="P127" i="2" s="1"/>
  <c r="P128" i="2" s="1"/>
  <c r="P129" i="2" s="1"/>
  <c r="P130" i="2" s="1"/>
  <c r="P131" i="2" s="1"/>
  <c r="P132" i="2" s="1"/>
  <c r="P133" i="2" s="1"/>
  <c r="P134" i="2" s="1"/>
  <c r="P135" i="2" s="1"/>
  <c r="P136" i="2" s="1"/>
  <c r="P137" i="2" s="1"/>
  <c r="P138" i="2" s="1"/>
  <c r="P139" i="2" s="1"/>
  <c r="P140" i="2" s="1"/>
  <c r="P141" i="2" s="1"/>
  <c r="P142" i="2" s="1"/>
  <c r="P143" i="2" s="1"/>
  <c r="P144" i="2" s="1"/>
  <c r="P145" i="2" s="1"/>
  <c r="P146" i="2" s="1"/>
  <c r="P147" i="2" s="1"/>
  <c r="P148" i="2" s="1"/>
  <c r="P149" i="2" s="1"/>
  <c r="P150" i="2" s="1"/>
  <c r="P151" i="2" s="1"/>
  <c r="P152" i="2" s="1"/>
  <c r="P153" i="2" s="1"/>
  <c r="P154" i="2" s="1"/>
  <c r="B131" i="2" l="1"/>
  <c r="B130" i="2" l="1"/>
  <c r="H9" i="2"/>
  <c r="F98" i="2"/>
  <c r="F97" i="2"/>
  <c r="B70" i="2"/>
  <c r="N23" i="1" s="1"/>
  <c r="B69" i="2"/>
  <c r="M23" i="1" s="1"/>
  <c r="B68" i="2"/>
  <c r="L23" i="1" s="1"/>
  <c r="B67" i="2"/>
  <c r="K24" i="1" s="1"/>
  <c r="B66" i="2"/>
  <c r="K23" i="1" s="1"/>
  <c r="B65" i="2"/>
  <c r="J24" i="1" s="1"/>
  <c r="B64" i="2"/>
  <c r="J23" i="1" s="1"/>
  <c r="B63" i="2"/>
  <c r="I24" i="1" s="1"/>
  <c r="B62" i="2"/>
  <c r="I23" i="1" s="1"/>
  <c r="B61" i="2"/>
  <c r="H23" i="1" s="1"/>
  <c r="B60" i="2"/>
  <c r="G24" i="1" s="1"/>
  <c r="B59" i="2"/>
  <c r="G23" i="1" s="1"/>
  <c r="B58" i="2"/>
  <c r="F24" i="1" s="1"/>
  <c r="B57" i="2"/>
  <c r="F23" i="1" s="1"/>
  <c r="B56" i="2"/>
  <c r="E23" i="1" s="1"/>
  <c r="B55" i="2"/>
  <c r="D23" i="1" s="1"/>
  <c r="B54" i="2"/>
  <c r="C23" i="1" s="1"/>
  <c r="B53" i="2"/>
  <c r="B23" i="1" s="1"/>
  <c r="D51" i="2"/>
  <c r="B51" i="2"/>
  <c r="B50" i="2"/>
  <c r="M16" i="1" s="1"/>
  <c r="B49" i="2"/>
  <c r="L16" i="1" s="1"/>
  <c r="B48" i="2"/>
  <c r="K16" i="1" s="1"/>
  <c r="B47" i="2"/>
  <c r="J16" i="1" s="1"/>
  <c r="B46" i="2"/>
  <c r="G16" i="1" s="1"/>
  <c r="B45" i="2"/>
  <c r="F16" i="1" s="1"/>
  <c r="B44" i="2"/>
  <c r="F15" i="1" s="1"/>
  <c r="B43" i="2"/>
  <c r="F14" i="1" s="1"/>
  <c r="B42" i="2"/>
  <c r="F13" i="1" s="1"/>
  <c r="M39" i="2"/>
  <c r="M38" i="2"/>
  <c r="B37" i="2"/>
  <c r="B36" i="2"/>
  <c r="B16" i="1" s="1"/>
  <c r="B35" i="2"/>
  <c r="B15" i="1" s="1"/>
  <c r="B34" i="2"/>
  <c r="B14" i="1" s="1"/>
  <c r="B33" i="2"/>
  <c r="B13" i="1" s="1"/>
  <c r="I39" i="2"/>
  <c r="I38" i="2"/>
  <c r="B31" i="2"/>
  <c r="L9" i="1" s="1"/>
  <c r="M8" i="1"/>
  <c r="B30" i="2"/>
  <c r="L5" i="1" s="1"/>
  <c r="I8" i="1"/>
  <c r="B29" i="2"/>
  <c r="F11" i="1" s="1"/>
  <c r="B28" i="2"/>
  <c r="F9" i="1" s="1"/>
  <c r="B27" i="2"/>
  <c r="F7" i="1" s="1"/>
  <c r="B26" i="2"/>
  <c r="F6" i="1" s="1"/>
  <c r="B25" i="2"/>
  <c r="F5" i="1" s="1"/>
  <c r="B24" i="2"/>
  <c r="M4" i="1" s="1"/>
  <c r="B23" i="2"/>
  <c r="I4" i="1" s="1"/>
  <c r="B22" i="2"/>
  <c r="H4" i="1" s="1"/>
  <c r="B21" i="2"/>
  <c r="F4" i="1" s="1"/>
  <c r="B19" i="2"/>
  <c r="C8" i="1" s="1"/>
  <c r="B18" i="2"/>
  <c r="C6" i="1" s="1"/>
  <c r="B17" i="2"/>
  <c r="C5" i="1" s="1"/>
  <c r="F21" i="1" l="1"/>
  <c r="F20" i="1"/>
  <c r="B38" i="2"/>
  <c r="B39" i="2"/>
  <c r="J4" i="1"/>
  <c r="B14" i="2" l="1"/>
  <c r="B1" i="1" s="1"/>
  <c r="O10" i="2" l="1"/>
  <c r="O9" i="2"/>
  <c r="H5" i="1" l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AC73" i="1" l="1"/>
  <c r="AC65" i="1"/>
  <c r="AC57" i="1"/>
  <c r="AA74" i="1"/>
  <c r="Z74" i="1"/>
  <c r="AC74" i="1"/>
  <c r="X74" i="1"/>
  <c r="M74" i="1" s="1"/>
  <c r="W74" i="1"/>
  <c r="V74" i="1"/>
  <c r="L74" i="1" s="1"/>
  <c r="AA73" i="1"/>
  <c r="Z73" i="1"/>
  <c r="X73" i="1"/>
  <c r="M73" i="1" s="1"/>
  <c r="W73" i="1"/>
  <c r="V73" i="1"/>
  <c r="L73" i="1" s="1"/>
  <c r="AA72" i="1"/>
  <c r="Z72" i="1"/>
  <c r="AC72" i="1"/>
  <c r="X72" i="1"/>
  <c r="M72" i="1" s="1"/>
  <c r="W72" i="1"/>
  <c r="V72" i="1"/>
  <c r="L72" i="1" s="1"/>
  <c r="AB71" i="1"/>
  <c r="N71" i="1" s="1"/>
  <c r="AA71" i="1"/>
  <c r="Z71" i="1"/>
  <c r="AC71" i="1"/>
  <c r="X71" i="1"/>
  <c r="M71" i="1" s="1"/>
  <c r="W71" i="1"/>
  <c r="V71" i="1"/>
  <c r="L71" i="1" s="1"/>
  <c r="AA70" i="1"/>
  <c r="Z70" i="1"/>
  <c r="AC70" i="1"/>
  <c r="X70" i="1"/>
  <c r="M70" i="1" s="1"/>
  <c r="W70" i="1"/>
  <c r="V70" i="1"/>
  <c r="L70" i="1" s="1"/>
  <c r="AA69" i="1"/>
  <c r="Z69" i="1"/>
  <c r="AC69" i="1"/>
  <c r="X69" i="1"/>
  <c r="M69" i="1" s="1"/>
  <c r="W69" i="1"/>
  <c r="V69" i="1"/>
  <c r="L69" i="1" s="1"/>
  <c r="AB68" i="1"/>
  <c r="N68" i="1" s="1"/>
  <c r="AA68" i="1"/>
  <c r="Z68" i="1"/>
  <c r="AC68" i="1"/>
  <c r="X68" i="1"/>
  <c r="M68" i="1" s="1"/>
  <c r="W68" i="1"/>
  <c r="V68" i="1"/>
  <c r="L68" i="1" s="1"/>
  <c r="AB67" i="1"/>
  <c r="N67" i="1" s="1"/>
  <c r="AA67" i="1"/>
  <c r="Z67" i="1"/>
  <c r="AC67" i="1"/>
  <c r="X67" i="1"/>
  <c r="M67" i="1" s="1"/>
  <c r="W67" i="1"/>
  <c r="V67" i="1"/>
  <c r="L67" i="1" s="1"/>
  <c r="AA66" i="1"/>
  <c r="Z66" i="1"/>
  <c r="AC66" i="1"/>
  <c r="X66" i="1"/>
  <c r="M66" i="1" s="1"/>
  <c r="W66" i="1"/>
  <c r="V66" i="1"/>
  <c r="L66" i="1" s="1"/>
  <c r="AA65" i="1"/>
  <c r="Z65" i="1"/>
  <c r="X65" i="1"/>
  <c r="M65" i="1" s="1"/>
  <c r="W65" i="1"/>
  <c r="V65" i="1"/>
  <c r="L65" i="1" s="1"/>
  <c r="AA64" i="1"/>
  <c r="Z64" i="1"/>
  <c r="AC64" i="1"/>
  <c r="X64" i="1"/>
  <c r="M64" i="1" s="1"/>
  <c r="W64" i="1"/>
  <c r="V64" i="1"/>
  <c r="L64" i="1" s="1"/>
  <c r="AB63" i="1"/>
  <c r="N63" i="1" s="1"/>
  <c r="AA63" i="1"/>
  <c r="Z63" i="1"/>
  <c r="AC63" i="1"/>
  <c r="X63" i="1"/>
  <c r="M63" i="1" s="1"/>
  <c r="W63" i="1"/>
  <c r="V63" i="1"/>
  <c r="L63" i="1" s="1"/>
  <c r="AA62" i="1"/>
  <c r="Z62" i="1"/>
  <c r="AC62" i="1"/>
  <c r="X62" i="1"/>
  <c r="M62" i="1" s="1"/>
  <c r="W62" i="1"/>
  <c r="V62" i="1"/>
  <c r="L62" i="1" s="1"/>
  <c r="AA61" i="1"/>
  <c r="Z61" i="1"/>
  <c r="AC61" i="1"/>
  <c r="X61" i="1"/>
  <c r="M61" i="1" s="1"/>
  <c r="W61" i="1"/>
  <c r="V61" i="1"/>
  <c r="L61" i="1" s="1"/>
  <c r="AA60" i="1"/>
  <c r="Z60" i="1"/>
  <c r="AC60" i="1"/>
  <c r="X60" i="1"/>
  <c r="M60" i="1" s="1"/>
  <c r="W60" i="1"/>
  <c r="V60" i="1"/>
  <c r="L60" i="1" s="1"/>
  <c r="AB59" i="1"/>
  <c r="N59" i="1" s="1"/>
  <c r="AA59" i="1"/>
  <c r="Z59" i="1"/>
  <c r="AC59" i="1"/>
  <c r="X59" i="1"/>
  <c r="M59" i="1" s="1"/>
  <c r="W59" i="1"/>
  <c r="V59" i="1"/>
  <c r="L59" i="1" s="1"/>
  <c r="AA58" i="1"/>
  <c r="Z58" i="1"/>
  <c r="AC58" i="1"/>
  <c r="X58" i="1"/>
  <c r="M58" i="1" s="1"/>
  <c r="W58" i="1"/>
  <c r="V58" i="1"/>
  <c r="L58" i="1" s="1"/>
  <c r="AA57" i="1"/>
  <c r="Z57" i="1"/>
  <c r="X57" i="1"/>
  <c r="M57" i="1" s="1"/>
  <c r="W57" i="1"/>
  <c r="V57" i="1"/>
  <c r="L57" i="1" s="1"/>
  <c r="AA56" i="1"/>
  <c r="Z56" i="1"/>
  <c r="AC56" i="1"/>
  <c r="X56" i="1"/>
  <c r="M56" i="1" s="1"/>
  <c r="W56" i="1"/>
  <c r="V56" i="1"/>
  <c r="L56" i="1" s="1"/>
  <c r="AB55" i="1"/>
  <c r="N55" i="1" s="1"/>
  <c r="AA55" i="1"/>
  <c r="Z55" i="1"/>
  <c r="AC55" i="1"/>
  <c r="X55" i="1"/>
  <c r="M55" i="1" s="1"/>
  <c r="W55" i="1"/>
  <c r="V55" i="1"/>
  <c r="L55" i="1" s="1"/>
  <c r="AA54" i="1"/>
  <c r="Z54" i="1"/>
  <c r="AC54" i="1"/>
  <c r="X54" i="1"/>
  <c r="M54" i="1" s="1"/>
  <c r="W54" i="1"/>
  <c r="V54" i="1"/>
  <c r="L54" i="1" s="1"/>
  <c r="AA53" i="1"/>
  <c r="Z53" i="1"/>
  <c r="AC53" i="1"/>
  <c r="X53" i="1"/>
  <c r="M53" i="1" s="1"/>
  <c r="W53" i="1"/>
  <c r="V53" i="1"/>
  <c r="L53" i="1" s="1"/>
  <c r="AB52" i="1"/>
  <c r="N52" i="1" s="1"/>
  <c r="AA52" i="1"/>
  <c r="Z52" i="1"/>
  <c r="AC52" i="1"/>
  <c r="X52" i="1"/>
  <c r="M52" i="1" s="1"/>
  <c r="W52" i="1"/>
  <c r="V52" i="1"/>
  <c r="L52" i="1" s="1"/>
  <c r="Z51" i="1"/>
  <c r="W51" i="1"/>
  <c r="Z50" i="1"/>
  <c r="W50" i="1"/>
  <c r="Z49" i="1"/>
  <c r="W49" i="1"/>
  <c r="Z48" i="1"/>
  <c r="W48" i="1"/>
  <c r="Z47" i="1"/>
  <c r="W47" i="1"/>
  <c r="Z46" i="1"/>
  <c r="W46" i="1"/>
  <c r="Z45" i="1"/>
  <c r="W45" i="1"/>
  <c r="Z44" i="1"/>
  <c r="W44" i="1"/>
  <c r="Z43" i="1"/>
  <c r="W43" i="1"/>
  <c r="Z42" i="1"/>
  <c r="W42" i="1"/>
  <c r="Z41" i="1"/>
  <c r="W41" i="1"/>
  <c r="K172" i="2"/>
  <c r="K171" i="2"/>
  <c r="K169" i="2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K170" i="2"/>
  <c r="K168" i="2"/>
  <c r="K167" i="2"/>
  <c r="L168" i="2"/>
  <c r="AB60" i="1" l="1"/>
  <c r="N60" i="1" s="1"/>
  <c r="AB64" i="1"/>
  <c r="N64" i="1" s="1"/>
  <c r="AB56" i="1"/>
  <c r="N56" i="1" s="1"/>
  <c r="AB72" i="1"/>
  <c r="N72" i="1" s="1"/>
  <c r="AB53" i="1"/>
  <c r="N53" i="1" s="1"/>
  <c r="AB57" i="1"/>
  <c r="N57" i="1" s="1"/>
  <c r="AB61" i="1"/>
  <c r="N61" i="1" s="1"/>
  <c r="AB65" i="1"/>
  <c r="N65" i="1" s="1"/>
  <c r="AB69" i="1"/>
  <c r="N69" i="1" s="1"/>
  <c r="AB73" i="1"/>
  <c r="N73" i="1" s="1"/>
  <c r="AB54" i="1"/>
  <c r="N54" i="1" s="1"/>
  <c r="AB58" i="1"/>
  <c r="N58" i="1" s="1"/>
  <c r="AB62" i="1"/>
  <c r="N62" i="1" s="1"/>
  <c r="AB66" i="1"/>
  <c r="N66" i="1" s="1"/>
  <c r="AB70" i="1"/>
  <c r="N70" i="1" s="1"/>
  <c r="AB74" i="1"/>
  <c r="N74" i="1" s="1"/>
  <c r="L169" i="2"/>
  <c r="L170" i="2" s="1"/>
  <c r="L171" i="2" s="1"/>
  <c r="L172" i="2" s="1"/>
  <c r="M155" i="2" l="1"/>
  <c r="K155" i="2"/>
  <c r="K156" i="2" s="1"/>
  <c r="K157" i="2" s="1"/>
  <c r="I155" i="2"/>
  <c r="I156" i="2" s="1"/>
  <c r="I157" i="2" s="1"/>
  <c r="I158" i="2" s="1"/>
  <c r="G155" i="2"/>
  <c r="G156" i="2" s="1"/>
  <c r="G157" i="2" s="1"/>
  <c r="G158" i="2" s="1"/>
  <c r="E155" i="2"/>
  <c r="E156" i="2" s="1"/>
  <c r="E157" i="2" s="1"/>
  <c r="E158" i="2" s="1"/>
  <c r="E159" i="2" s="1"/>
  <c r="E160" i="2" s="1"/>
  <c r="C155" i="2"/>
  <c r="C156" i="2" s="1"/>
  <c r="C157" i="2" s="1"/>
  <c r="C158" i="2" s="1"/>
  <c r="C159" i="2" s="1"/>
  <c r="C160" i="2" s="1"/>
  <c r="C161" i="2" s="1"/>
  <c r="C162" i="2" s="1"/>
  <c r="J80" i="2" l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R74" i="1" l="1"/>
  <c r="T74" i="1" s="1"/>
  <c r="R73" i="1"/>
  <c r="T73" i="1" s="1"/>
  <c r="R72" i="1"/>
  <c r="T72" i="1" s="1"/>
  <c r="R71" i="1"/>
  <c r="T71" i="1" s="1"/>
  <c r="R70" i="1"/>
  <c r="T70" i="1" s="1"/>
  <c r="R69" i="1"/>
  <c r="T69" i="1" s="1"/>
  <c r="R68" i="1"/>
  <c r="T68" i="1" s="1"/>
  <c r="R67" i="1"/>
  <c r="T67" i="1" s="1"/>
  <c r="R66" i="1"/>
  <c r="T66" i="1" s="1"/>
  <c r="R65" i="1"/>
  <c r="T65" i="1" s="1"/>
  <c r="R64" i="1"/>
  <c r="T64" i="1" s="1"/>
  <c r="R63" i="1"/>
  <c r="T63" i="1" s="1"/>
  <c r="R62" i="1"/>
  <c r="T62" i="1" s="1"/>
  <c r="R61" i="1"/>
  <c r="T61" i="1" s="1"/>
  <c r="R60" i="1"/>
  <c r="T60" i="1" s="1"/>
  <c r="R59" i="1"/>
  <c r="T59" i="1" s="1"/>
  <c r="R58" i="1"/>
  <c r="T58" i="1" s="1"/>
  <c r="R57" i="1"/>
  <c r="T57" i="1" s="1"/>
  <c r="R56" i="1"/>
  <c r="T56" i="1" s="1"/>
  <c r="R55" i="1"/>
  <c r="T55" i="1" s="1"/>
  <c r="R54" i="1"/>
  <c r="T54" i="1" s="1"/>
  <c r="R53" i="1"/>
  <c r="T53" i="1" s="1"/>
  <c r="R52" i="1"/>
  <c r="T52" i="1" s="1"/>
  <c r="R51" i="1"/>
  <c r="T51" i="1" s="1"/>
  <c r="R50" i="1"/>
  <c r="T50" i="1" s="1"/>
  <c r="R49" i="1"/>
  <c r="T49" i="1" s="1"/>
  <c r="R48" i="1"/>
  <c r="T48" i="1" s="1"/>
  <c r="R47" i="1"/>
  <c r="T47" i="1" s="1"/>
  <c r="R46" i="1"/>
  <c r="R45" i="1"/>
  <c r="T45" i="1" s="1"/>
  <c r="R44" i="1"/>
  <c r="T44" i="1" s="1"/>
  <c r="R43" i="1"/>
  <c r="T43" i="1" s="1"/>
  <c r="R42" i="1"/>
  <c r="T42" i="1" s="1"/>
  <c r="R41" i="1"/>
  <c r="T41" i="1" s="1"/>
  <c r="R40" i="1"/>
  <c r="T40" i="1" s="1"/>
  <c r="R39" i="1"/>
  <c r="T39" i="1" s="1"/>
  <c r="R38" i="1"/>
  <c r="T38" i="1" s="1"/>
  <c r="R37" i="1"/>
  <c r="T37" i="1" s="1"/>
  <c r="R36" i="1"/>
  <c r="T36" i="1" s="1"/>
  <c r="R35" i="1"/>
  <c r="T35" i="1" s="1"/>
  <c r="R34" i="1"/>
  <c r="R33" i="1"/>
  <c r="T33" i="1" s="1"/>
  <c r="R32" i="1"/>
  <c r="T32" i="1" s="1"/>
  <c r="R31" i="1"/>
  <c r="T31" i="1" s="1"/>
  <c r="R30" i="1"/>
  <c r="T30" i="1" s="1"/>
  <c r="R29" i="1"/>
  <c r="T29" i="1" s="1"/>
  <c r="R28" i="1"/>
  <c r="T28" i="1" s="1"/>
  <c r="R27" i="1"/>
  <c r="T27" i="1" s="1"/>
  <c r="R26" i="1"/>
  <c r="T26" i="1" s="1"/>
  <c r="R25" i="1"/>
  <c r="H7" i="1" l="1"/>
  <c r="T34" i="1"/>
  <c r="H6" i="1"/>
  <c r="T25" i="1"/>
  <c r="S14" i="1"/>
  <c r="B21" i="1" s="1"/>
  <c r="T46" i="1"/>
  <c r="K76" i="1"/>
  <c r="G76" i="1"/>
  <c r="D8" i="2"/>
  <c r="B72" i="2" l="1"/>
  <c r="C76" i="1" s="1"/>
  <c r="S74" i="1"/>
  <c r="U74" i="1" s="1"/>
  <c r="S73" i="1"/>
  <c r="U73" i="1" s="1"/>
  <c r="S72" i="1"/>
  <c r="U72" i="1" s="1"/>
  <c r="S71" i="1"/>
  <c r="U71" i="1" s="1"/>
  <c r="S70" i="1"/>
  <c r="U70" i="1" s="1"/>
  <c r="S69" i="1"/>
  <c r="U69" i="1" s="1"/>
  <c r="S68" i="1"/>
  <c r="U68" i="1" s="1"/>
  <c r="S67" i="1"/>
  <c r="U67" i="1" s="1"/>
  <c r="S66" i="1"/>
  <c r="U66" i="1" s="1"/>
  <c r="S65" i="1"/>
  <c r="U65" i="1" s="1"/>
  <c r="S64" i="1"/>
  <c r="U64" i="1" s="1"/>
  <c r="S63" i="1"/>
  <c r="U63" i="1" s="1"/>
  <c r="S62" i="1"/>
  <c r="U62" i="1" s="1"/>
  <c r="S61" i="1"/>
  <c r="U61" i="1" s="1"/>
  <c r="S60" i="1"/>
  <c r="U60" i="1" s="1"/>
  <c r="S59" i="1"/>
  <c r="U59" i="1" s="1"/>
  <c r="S58" i="1"/>
  <c r="U58" i="1" s="1"/>
  <c r="S57" i="1"/>
  <c r="U57" i="1" s="1"/>
  <c r="S56" i="1"/>
  <c r="U56" i="1" s="1"/>
  <c r="S55" i="1"/>
  <c r="U55" i="1" s="1"/>
  <c r="S54" i="1"/>
  <c r="U54" i="1" s="1"/>
  <c r="S53" i="1"/>
  <c r="U53" i="1" s="1"/>
  <c r="S52" i="1"/>
  <c r="U52" i="1" s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U41" i="1" l="1"/>
  <c r="X41" i="1" s="1"/>
  <c r="M41" i="1" s="1"/>
  <c r="U39" i="1"/>
  <c r="Y39" i="1" s="1"/>
  <c r="U51" i="1"/>
  <c r="U49" i="1"/>
  <c r="X49" i="1" s="1"/>
  <c r="M49" i="1" s="1"/>
  <c r="U50" i="1"/>
  <c r="X50" i="1" s="1"/>
  <c r="M50" i="1" s="1"/>
  <c r="U46" i="1"/>
  <c r="X46" i="1" s="1"/>
  <c r="M46" i="1" s="1"/>
  <c r="U47" i="1"/>
  <c r="U48" i="1"/>
  <c r="X48" i="1" s="1"/>
  <c r="M48" i="1" s="1"/>
  <c r="U45" i="1"/>
  <c r="U44" i="1"/>
  <c r="X44" i="1" s="1"/>
  <c r="M44" i="1" s="1"/>
  <c r="U42" i="1"/>
  <c r="U43" i="1"/>
  <c r="X43" i="1" s="1"/>
  <c r="M43" i="1" s="1"/>
  <c r="U26" i="1"/>
  <c r="Y26" i="1" s="1"/>
  <c r="U27" i="1"/>
  <c r="Y27" i="1" s="1"/>
  <c r="U35" i="1"/>
  <c r="Y35" i="1" s="1"/>
  <c r="U28" i="1"/>
  <c r="Y28" i="1" s="1"/>
  <c r="U36" i="1"/>
  <c r="Y36" i="1" s="1"/>
  <c r="U29" i="1"/>
  <c r="Y29" i="1" s="1"/>
  <c r="U37" i="1"/>
  <c r="Y37" i="1" s="1"/>
  <c r="U30" i="1"/>
  <c r="Y30" i="1" s="1"/>
  <c r="U38" i="1"/>
  <c r="Y38" i="1" s="1"/>
  <c r="U31" i="1"/>
  <c r="U32" i="1"/>
  <c r="Y32" i="1" s="1"/>
  <c r="U40" i="1"/>
  <c r="Y40" i="1" s="1"/>
  <c r="U33" i="1"/>
  <c r="Y33" i="1" s="1"/>
  <c r="U34" i="1"/>
  <c r="Y34" i="1" s="1"/>
  <c r="S25" i="1"/>
  <c r="AA39" i="1"/>
  <c r="AA41" i="1"/>
  <c r="Y41" i="1" l="1"/>
  <c r="AC41" i="1" s="1"/>
  <c r="AB41" i="1" s="1"/>
  <c r="N41" i="1" s="1"/>
  <c r="V41" i="1"/>
  <c r="L41" i="1" s="1"/>
  <c r="X39" i="1"/>
  <c r="M39" i="1" s="1"/>
  <c r="V39" i="1"/>
  <c r="L39" i="1" s="1"/>
  <c r="Y31" i="1"/>
  <c r="Y51" i="1"/>
  <c r="V51" i="1"/>
  <c r="L51" i="1" s="1"/>
  <c r="Y50" i="1"/>
  <c r="V50" i="1"/>
  <c r="L50" i="1" s="1"/>
  <c r="Y49" i="1"/>
  <c r="V49" i="1"/>
  <c r="L49" i="1" s="1"/>
  <c r="X51" i="1"/>
  <c r="M51" i="1" s="1"/>
  <c r="Y42" i="1"/>
  <c r="V42" i="1"/>
  <c r="L42" i="1" s="1"/>
  <c r="Y45" i="1"/>
  <c r="V45" i="1"/>
  <c r="L45" i="1" s="1"/>
  <c r="Y47" i="1"/>
  <c r="V47" i="1"/>
  <c r="L47" i="1" s="1"/>
  <c r="X45" i="1"/>
  <c r="M45" i="1" s="1"/>
  <c r="Y48" i="1"/>
  <c r="V48" i="1"/>
  <c r="L48" i="1" s="1"/>
  <c r="Y43" i="1"/>
  <c r="V43" i="1"/>
  <c r="L43" i="1" s="1"/>
  <c r="X42" i="1"/>
  <c r="M42" i="1" s="1"/>
  <c r="X47" i="1"/>
  <c r="M47" i="1" s="1"/>
  <c r="Y44" i="1"/>
  <c r="V44" i="1"/>
  <c r="L44" i="1" s="1"/>
  <c r="Y46" i="1"/>
  <c r="V46" i="1"/>
  <c r="L46" i="1" s="1"/>
  <c r="X35" i="1"/>
  <c r="M35" i="1" s="1"/>
  <c r="AC39" i="1"/>
  <c r="AB39" i="1" s="1"/>
  <c r="N39" i="1" s="1"/>
  <c r="X32" i="1"/>
  <c r="M32" i="1" s="1"/>
  <c r="X29" i="1"/>
  <c r="M29" i="1" s="1"/>
  <c r="X28" i="1"/>
  <c r="M28" i="1" s="1"/>
  <c r="X38" i="1"/>
  <c r="M38" i="1" s="1"/>
  <c r="X34" i="1"/>
  <c r="M34" i="1" s="1"/>
  <c r="X30" i="1"/>
  <c r="M30" i="1" s="1"/>
  <c r="X26" i="1"/>
  <c r="M26" i="1" s="1"/>
  <c r="X37" i="1"/>
  <c r="M37" i="1" s="1"/>
  <c r="X33" i="1"/>
  <c r="M33" i="1" s="1"/>
  <c r="X31" i="1"/>
  <c r="M31" i="1" s="1"/>
  <c r="X27" i="1"/>
  <c r="M27" i="1" s="1"/>
  <c r="X40" i="1"/>
  <c r="M40" i="1" s="1"/>
  <c r="X36" i="1"/>
  <c r="M36" i="1" s="1"/>
  <c r="V38" i="1"/>
  <c r="L38" i="1" s="1"/>
  <c r="V30" i="1"/>
  <c r="L30" i="1" s="1"/>
  <c r="V37" i="1"/>
  <c r="L37" i="1" s="1"/>
  <c r="V26" i="1"/>
  <c r="L26" i="1" s="1"/>
  <c r="V34" i="1"/>
  <c r="L34" i="1" s="1"/>
  <c r="V29" i="1"/>
  <c r="L29" i="1" s="1"/>
  <c r="V33" i="1"/>
  <c r="L33" i="1" s="1"/>
  <c r="V36" i="1"/>
  <c r="L36" i="1" s="1"/>
  <c r="V40" i="1"/>
  <c r="L40" i="1" s="1"/>
  <c r="V28" i="1"/>
  <c r="L28" i="1" s="1"/>
  <c r="V32" i="1"/>
  <c r="L32" i="1" s="1"/>
  <c r="V35" i="1"/>
  <c r="L35" i="1" s="1"/>
  <c r="V31" i="1"/>
  <c r="L31" i="1" s="1"/>
  <c r="V27" i="1"/>
  <c r="L27" i="1" s="1"/>
  <c r="U25" i="1"/>
  <c r="Y25" i="1" s="1"/>
  <c r="I6" i="1"/>
  <c r="I7" i="1"/>
  <c r="I5" i="1"/>
  <c r="T14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AA46" i="1"/>
  <c r="AA44" i="1"/>
  <c r="AA33" i="1"/>
  <c r="AA40" i="1"/>
  <c r="AA29" i="1"/>
  <c r="AA27" i="1"/>
  <c r="AA32" i="1"/>
  <c r="AA42" i="1"/>
  <c r="AA47" i="1"/>
  <c r="AA34" i="1"/>
  <c r="AA38" i="1"/>
  <c r="AA51" i="1"/>
  <c r="AA28" i="1"/>
  <c r="AA37" i="1"/>
  <c r="AA48" i="1"/>
  <c r="AA36" i="1"/>
  <c r="AA50" i="1"/>
  <c r="AA35" i="1"/>
  <c r="AA26" i="1"/>
  <c r="AA45" i="1"/>
  <c r="AA30" i="1"/>
  <c r="AA31" i="1"/>
  <c r="AA49" i="1"/>
  <c r="AA43" i="1"/>
  <c r="B20" i="1" l="1"/>
  <c r="B18" i="1"/>
  <c r="B19" i="1"/>
  <c r="Y14" i="1"/>
  <c r="Z14" i="1" s="1"/>
  <c r="F19" i="1"/>
  <c r="F18" i="1"/>
  <c r="F17" i="1"/>
  <c r="AC31" i="1"/>
  <c r="AB31" i="1" s="1"/>
  <c r="N31" i="1" s="1"/>
  <c r="B17" i="1"/>
  <c r="AC49" i="1"/>
  <c r="AB49" i="1" s="1"/>
  <c r="N49" i="1" s="1"/>
  <c r="AC50" i="1"/>
  <c r="AB50" i="1" s="1"/>
  <c r="N50" i="1" s="1"/>
  <c r="AC51" i="1"/>
  <c r="AB51" i="1" s="1"/>
  <c r="N51" i="1" s="1"/>
  <c r="AC47" i="1"/>
  <c r="AB47" i="1" s="1"/>
  <c r="N47" i="1" s="1"/>
  <c r="AC44" i="1"/>
  <c r="AB44" i="1" s="1"/>
  <c r="N44" i="1" s="1"/>
  <c r="AC43" i="1"/>
  <c r="AB43" i="1" s="1"/>
  <c r="N43" i="1" s="1"/>
  <c r="AC48" i="1"/>
  <c r="AB48" i="1" s="1"/>
  <c r="N48" i="1" s="1"/>
  <c r="AC46" i="1"/>
  <c r="AB46" i="1" s="1"/>
  <c r="N46" i="1" s="1"/>
  <c r="AC45" i="1"/>
  <c r="AB45" i="1" s="1"/>
  <c r="N45" i="1" s="1"/>
  <c r="AC42" i="1"/>
  <c r="AB42" i="1" s="1"/>
  <c r="N42" i="1" s="1"/>
  <c r="U14" i="1"/>
  <c r="V14" i="1" s="1"/>
  <c r="M5" i="1" s="1"/>
  <c r="I9" i="1"/>
  <c r="AC32" i="1"/>
  <c r="AB32" i="1" s="1"/>
  <c r="N32" i="1" s="1"/>
  <c r="AC28" i="1"/>
  <c r="AB28" i="1" s="1"/>
  <c r="N28" i="1" s="1"/>
  <c r="AC29" i="1"/>
  <c r="AB29" i="1" s="1"/>
  <c r="N29" i="1" s="1"/>
  <c r="AC27" i="1"/>
  <c r="AB27" i="1" s="1"/>
  <c r="N27" i="1" s="1"/>
  <c r="V25" i="1"/>
  <c r="L25" i="1" s="1"/>
  <c r="AC34" i="1"/>
  <c r="AB34" i="1" s="1"/>
  <c r="N34" i="1" s="1"/>
  <c r="AC30" i="1"/>
  <c r="AB30" i="1" s="1"/>
  <c r="N30" i="1" s="1"/>
  <c r="AC26" i="1"/>
  <c r="AB26" i="1" s="1"/>
  <c r="N26" i="1" s="1"/>
  <c r="AC36" i="1"/>
  <c r="AB36" i="1" s="1"/>
  <c r="N36" i="1" s="1"/>
  <c r="AC35" i="1"/>
  <c r="AB35" i="1" s="1"/>
  <c r="N35" i="1" s="1"/>
  <c r="AC33" i="1"/>
  <c r="AB33" i="1" s="1"/>
  <c r="N33" i="1" s="1"/>
  <c r="AC37" i="1"/>
  <c r="AB37" i="1" s="1"/>
  <c r="N37" i="1" s="1"/>
  <c r="AC38" i="1"/>
  <c r="AB38" i="1" s="1"/>
  <c r="N38" i="1" s="1"/>
  <c r="AC40" i="1"/>
  <c r="AB40" i="1" s="1"/>
  <c r="N40" i="1" s="1"/>
  <c r="X25" i="1"/>
  <c r="M25" i="1" s="1"/>
  <c r="H9" i="1"/>
  <c r="AA25" i="1"/>
  <c r="M9" i="1" l="1"/>
  <c r="I11" i="1" s="1"/>
  <c r="AC25" i="1"/>
  <c r="AB25" i="1" s="1"/>
  <c r="N25" i="1" s="1"/>
</calcChain>
</file>

<file path=xl/sharedStrings.xml><?xml version="1.0" encoding="utf-8"?>
<sst xmlns="http://schemas.openxmlformats.org/spreadsheetml/2006/main" count="582" uniqueCount="337">
  <si>
    <t xml:space="preserve">School / Vereniging : </t>
  </si>
  <si>
    <t xml:space="preserve">Contact : </t>
  </si>
  <si>
    <t xml:space="preserve">Adres                      : </t>
  </si>
  <si>
    <t xml:space="preserve">Postcode en Plaats : </t>
  </si>
  <si>
    <t xml:space="preserve">E-mail : </t>
  </si>
  <si>
    <t xml:space="preserve">Naam Coach(es) : </t>
  </si>
  <si>
    <t xml:space="preserve">Umpires : </t>
  </si>
  <si>
    <t>Naam Scheidsrechters</t>
  </si>
  <si>
    <t>Gradatie</t>
  </si>
  <si>
    <t>Licentie</t>
  </si>
  <si>
    <t>Leeftijd</t>
  </si>
  <si>
    <t>Voorkeur</t>
  </si>
  <si>
    <t>C</t>
  </si>
  <si>
    <t>Mat</t>
  </si>
  <si>
    <t>B</t>
  </si>
  <si>
    <t>Hoek</t>
  </si>
  <si>
    <t>A</t>
  </si>
  <si>
    <t>Nr:</t>
  </si>
  <si>
    <t>Roepnaam</t>
  </si>
  <si>
    <t>Tussen
voegsel</t>
  </si>
  <si>
    <t>Achternaam</t>
  </si>
  <si>
    <t>Geslacht</t>
  </si>
  <si>
    <t>Klasse</t>
  </si>
  <si>
    <t>Graduatie:</t>
  </si>
  <si>
    <t>Tuls</t>
  </si>
  <si>
    <t>Sparring</t>
  </si>
  <si>
    <t>Gewicht</t>
  </si>
  <si>
    <t>Tuls
Klasse</t>
  </si>
  <si>
    <t>Sparring
Klasse</t>
  </si>
  <si>
    <t>Dag / Maand / Jaar</t>
  </si>
  <si>
    <t>M / V</t>
  </si>
  <si>
    <t>Ja/ Nee</t>
  </si>
  <si>
    <t>Kg</t>
  </si>
  <si>
    <t>M</t>
  </si>
  <si>
    <t>Ja</t>
  </si>
  <si>
    <t>V</t>
  </si>
  <si>
    <t>Nee</t>
  </si>
  <si>
    <t>Graduatie scheids</t>
  </si>
  <si>
    <t>Graduatie</t>
  </si>
  <si>
    <t>Spar</t>
  </si>
  <si>
    <t>Ja/Nee</t>
  </si>
  <si>
    <r>
      <t>4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</si>
  <si>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t>A-klasse</t>
  </si>
  <si>
    <r>
      <t>8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</si>
  <si>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3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</si>
  <si>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7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</si>
  <si>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2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</si>
  <si>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6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</si>
  <si>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1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</si>
  <si>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r>
      <t>5</t>
    </r>
    <r>
      <rPr>
        <vertAlign val="super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 xml:space="preserve"> Gup</t>
    </r>
  </si>
  <si>
    <t>D</t>
  </si>
  <si>
    <r>
      <t>1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</si>
  <si>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t>AA-klasse</t>
  </si>
  <si>
    <r>
      <t>2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</si>
  <si>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r>
      <t>3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</si>
  <si>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r>
      <t>4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</si>
  <si>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r>
      <t>5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</si>
  <si>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r>
      <t>6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</si>
  <si>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r>
      <t>7</t>
    </r>
    <r>
      <rPr>
        <vertAlign val="superscript"/>
        <sz val="12"/>
        <color theme="1"/>
        <rFont val="Times New Roman"/>
        <family val="1"/>
      </rPr>
      <t>e</t>
    </r>
    <r>
      <rPr>
        <sz val="12"/>
        <color theme="1"/>
        <rFont val="Times New Roman"/>
        <family val="1"/>
      </rPr>
      <t xml:space="preserve"> Dan</t>
    </r>
  </si>
  <si>
    <t>Toernooi datum</t>
  </si>
  <si>
    <t>Inschrijf geld</t>
  </si>
  <si>
    <t>Bij een onderdeel</t>
  </si>
  <si>
    <t>Bij twee onderdelen</t>
  </si>
  <si>
    <t>Scheidsrechters limiet</t>
  </si>
  <si>
    <t>Deeln.</t>
  </si>
  <si>
    <t>Scheids</t>
  </si>
  <si>
    <t>Opmerkingen</t>
  </si>
  <si>
    <t>Indien groter scheids 1</t>
  </si>
  <si>
    <t>Boetes</t>
  </si>
  <si>
    <t>Indien groter scheids 2</t>
  </si>
  <si>
    <t>Geen scheidsrechter</t>
  </si>
  <si>
    <t>Indien groter scheids 3</t>
  </si>
  <si>
    <t>Coaches limiet</t>
  </si>
  <si>
    <t>Coaches</t>
  </si>
  <si>
    <t>Indien groter coach 1</t>
  </si>
  <si>
    <t>Indien groter coach 2</t>
  </si>
  <si>
    <t>Geen coach</t>
  </si>
  <si>
    <t>Indien groter coach 3</t>
  </si>
  <si>
    <t>Leeftijd indeling</t>
  </si>
  <si>
    <t>Jeugd</t>
  </si>
  <si>
    <t>Jongens</t>
  </si>
  <si>
    <t>Meisjes</t>
  </si>
  <si>
    <t>Junior</t>
  </si>
  <si>
    <t>Heren</t>
  </si>
  <si>
    <t>Dames</t>
  </si>
  <si>
    <t>Senior</t>
  </si>
  <si>
    <t>Junioren</t>
  </si>
  <si>
    <t>Senioren</t>
  </si>
  <si>
    <t>Step</t>
  </si>
  <si>
    <t>Inschrijf</t>
  </si>
  <si>
    <t>kosten</t>
  </si>
  <si>
    <t>klasse</t>
  </si>
  <si>
    <t>tuls</t>
  </si>
  <si>
    <t>Aantal</t>
  </si>
  <si>
    <t>Geen scheids</t>
  </si>
  <si>
    <t>Geencoach</t>
  </si>
  <si>
    <t>Deelnemers</t>
  </si>
  <si>
    <t>Verplicht</t>
  </si>
  <si>
    <t>Boete</t>
  </si>
  <si>
    <t>Coach</t>
  </si>
  <si>
    <t>toegestaan</t>
  </si>
  <si>
    <t>Kosten</t>
  </si>
  <si>
    <t xml:space="preserve">Deelnemers alleen Tuls : </t>
  </si>
  <si>
    <t xml:space="preserve">Deelnemers alleen Sparren : </t>
  </si>
  <si>
    <t xml:space="preserve">Deelnemers Tuls &amp; Sparren : </t>
  </si>
  <si>
    <t xml:space="preserve">Deelnemers Totaal : </t>
  </si>
  <si>
    <t>Mail ingevulde formulier als</t>
  </si>
  <si>
    <t>een bijvoeging naar :</t>
  </si>
  <si>
    <t>Onderwerp</t>
  </si>
  <si>
    <t xml:space="preserve"> +  -----------</t>
  </si>
  <si>
    <t>Valid</t>
  </si>
  <si>
    <t>deeln.</t>
  </si>
  <si>
    <t>!! Eerst bestand opslaan. Dan mailen</t>
  </si>
  <si>
    <t xml:space="preserve">Telefoon : </t>
  </si>
  <si>
    <t>Geboorte datum</t>
  </si>
  <si>
    <t>minimum</t>
  </si>
  <si>
    <t>maximum</t>
  </si>
  <si>
    <t>Age</t>
  </si>
  <si>
    <t>Youth</t>
  </si>
  <si>
    <t>Boys</t>
  </si>
  <si>
    <t>Girls</t>
  </si>
  <si>
    <t>Male</t>
  </si>
  <si>
    <t>Female</t>
  </si>
  <si>
    <t>Adult</t>
  </si>
  <si>
    <t xml:space="preserve">info@taekyonberghem.nl </t>
  </si>
  <si>
    <t>Mail datum</t>
  </si>
  <si>
    <t xml:space="preserve">Mail: </t>
  </si>
  <si>
    <t>Copy:</t>
  </si>
  <si>
    <t>Algemeen</t>
  </si>
  <si>
    <t>Klasse indelingen</t>
  </si>
  <si>
    <t>Scheidsrechters en coaches</t>
  </si>
  <si>
    <t>Leeftijd indelingen</t>
  </si>
  <si>
    <t>Gewicht indeling</t>
  </si>
  <si>
    <t>class</t>
  </si>
  <si>
    <t>Class</t>
  </si>
  <si>
    <t>Tull</t>
  </si>
  <si>
    <t>Id</t>
  </si>
  <si>
    <t>Jeugd Jongens | Youth Boys | B</t>
  </si>
  <si>
    <t>Jeugd Jongens | Youth Boys | A</t>
  </si>
  <si>
    <t>Jeugd Jongens | Youth Boys | AA</t>
  </si>
  <si>
    <t>Jeugd Meisjes | Youth Girls | B</t>
  </si>
  <si>
    <t>Jeugd Meisjes | Youth Girls | A</t>
  </si>
  <si>
    <t>Jeugd Meisjes | Youth Girls | AA</t>
  </si>
  <si>
    <t>Junior Heren | Junior Male | B</t>
  </si>
  <si>
    <t>Junior Heren | Junior Male | A</t>
  </si>
  <si>
    <t>Junior Heren | Junior Male | AA</t>
  </si>
  <si>
    <t>Junior Dames | Junior Female | B</t>
  </si>
  <si>
    <t>Junior Dames | Junior Female | A</t>
  </si>
  <si>
    <t>Junior Dames | Junior Female | AA</t>
  </si>
  <si>
    <t>Senior Heren | Adult Male | B</t>
  </si>
  <si>
    <t>Senior Heren | Adult Male | A</t>
  </si>
  <si>
    <t>Senior Heren | Adult Male | AA</t>
  </si>
  <si>
    <t>Senior Dames | Adult Female | B</t>
  </si>
  <si>
    <t>Senior Dames | Adult Female | A</t>
  </si>
  <si>
    <t>Senior Dames | Adult Female | AA</t>
  </si>
  <si>
    <t>Naam Tul categorie</t>
  </si>
  <si>
    <t>Jeugd Jongens | Youth Boys | B -25Kg</t>
  </si>
  <si>
    <t>Jeugd Jongens | Youth Boys | B -30Kg</t>
  </si>
  <si>
    <t>Jeugd Jongens | Youth Boys | B -35Kg</t>
  </si>
  <si>
    <t>Jeugd Jongens | Youth Boys | B -40Kg</t>
  </si>
  <si>
    <t>Jeugd Jongens | Youth Boys | B -45Kg</t>
  </si>
  <si>
    <t>Jeugd Jongens | Youth Boys | B -50Kg</t>
  </si>
  <si>
    <t>Jeugd Jongens | Youth Boys | B -55Kg</t>
  </si>
  <si>
    <t>Jeugd Jongens | Youth Boys | B -60Kg</t>
  </si>
  <si>
    <t>Jeugd Jongens | Youth Boys | B -65Kg</t>
  </si>
  <si>
    <t>Jeugd Jongens | Youth Boys | B +65Kg</t>
  </si>
  <si>
    <t>Jeugd Jongens | Youth Boys | A -25Kg</t>
  </si>
  <si>
    <t>Jeugd Jongens | Youth Boys | A -30Kg</t>
  </si>
  <si>
    <t>Jeugd Jongens | Youth Boys | A -35Kg</t>
  </si>
  <si>
    <t>Jeugd Jongens | Youth Boys | A -40Kg</t>
  </si>
  <si>
    <t>Jeugd Jongens | Youth Boys | A -45Kg</t>
  </si>
  <si>
    <t>Jeugd Jongens | Youth Boys | A -50Kg</t>
  </si>
  <si>
    <t>Jeugd Jongens | Youth Boys | A -55Kg</t>
  </si>
  <si>
    <t>Jeugd Jongens | Youth Boys | A -60Kg</t>
  </si>
  <si>
    <t>Jeugd Jongens | Youth Boys | A -65Kg</t>
  </si>
  <si>
    <t>Jeugd Meisjes | Youth Girls | B -25Kg</t>
  </si>
  <si>
    <t>Jeugd Meisjes | Youth Girls | B -30Kg</t>
  </si>
  <si>
    <t>Jeugd Meisjes | Youth Girls | B -35Kg</t>
  </si>
  <si>
    <t>Jeugd Meisjes | Youth Girls | B -40Kg</t>
  </si>
  <si>
    <t>Jeugd Meisjes | Youth Girls | B -45Kg</t>
  </si>
  <si>
    <t>Jeugd Meisjes | Youth Girls | B -50Kg</t>
  </si>
  <si>
    <t>Jeugd Meisjes | Youth Girls | B -55Kg</t>
  </si>
  <si>
    <t>Jeugd Meisjes | Youth Girls | B +55Kg</t>
  </si>
  <si>
    <t>Jeugd Meisjes | Youth Girls | A -25Kg</t>
  </si>
  <si>
    <t>Jeugd Meisjes | Youth Girls | A -30Kg</t>
  </si>
  <si>
    <t>Jeugd Meisjes | Youth Girls | A -35Kg</t>
  </si>
  <si>
    <t>Jeugd Meisjes | Youth Girls | A -40Kg</t>
  </si>
  <si>
    <t>Jeugd Meisjes | Youth Girls | A -45Kg</t>
  </si>
  <si>
    <t>Jeugd Meisjes | Youth Girls | A -50Kg</t>
  </si>
  <si>
    <t>Jeugd Meisjes | Youth Girls | A -55Kg</t>
  </si>
  <si>
    <t>Jeugd Meisjes | Youth Girls | A +55Kg</t>
  </si>
  <si>
    <t>Junior Heren | Junior Male | B -45Kg</t>
  </si>
  <si>
    <t>Junior Heren | Junior Male | B -51Kg</t>
  </si>
  <si>
    <t>Junior Heren | Junior Male | B -57Kg</t>
  </si>
  <si>
    <t>Junior Heren | Junior Male | B -63Kg</t>
  </si>
  <si>
    <t>Junior Heren | Junior Male | B -69Kg</t>
  </si>
  <si>
    <t>Junior Heren | Junior Male | B +69Kg</t>
  </si>
  <si>
    <t>Junior Heren | Junior Male | A -45Kg</t>
  </si>
  <si>
    <t>Junior Heren | Junior Male | A -51Kg</t>
  </si>
  <si>
    <t>Junior Heren | Junior Male | A -57Kg</t>
  </si>
  <si>
    <t>Junior Heren | Junior Male | A -63Kg</t>
  </si>
  <si>
    <t>Junior Heren | Junior Male | A -69Kg</t>
  </si>
  <si>
    <t>Junior Heren | Junior Male | A +69Kg</t>
  </si>
  <si>
    <t>Junior Dames | Junior Female | B -40Kg</t>
  </si>
  <si>
    <t>Junior Dames | Junior Female | B -46Kg</t>
  </si>
  <si>
    <t>Junior Dames | Junior Female | B -52Kg</t>
  </si>
  <si>
    <t>Junior Dames | Junior Female | B -58Kg</t>
  </si>
  <si>
    <t>Junior Dames | Junior Female | B -64Kg</t>
  </si>
  <si>
    <t>Junior Dames | Junior Female | B +64Kg</t>
  </si>
  <si>
    <t>Junior Dames | Junior Female | A -40Kg</t>
  </si>
  <si>
    <t>Junior Dames | Junior Female | A -46Kg</t>
  </si>
  <si>
    <t>Junior Dames | Junior Female | A -52Kg</t>
  </si>
  <si>
    <t>Junior Dames | Junior Female | A -58Kg</t>
  </si>
  <si>
    <t>Junior Dames | Junior Female | A -64Kg</t>
  </si>
  <si>
    <t>Junior Dames | Junior Female | A +64Kg</t>
  </si>
  <si>
    <t>Senior Heren | Adult Male | B -64Kg</t>
  </si>
  <si>
    <t>Senior Heren | Adult Male | B -71Kg</t>
  </si>
  <si>
    <t>Senior Heren | Adult Male | B -78Kg</t>
  </si>
  <si>
    <t>Senior Heren | Adult Male | B -85Kg</t>
  </si>
  <si>
    <t>Senior Heren | Adult Male | A -64Kg</t>
  </si>
  <si>
    <t>Senior Heren | Adult Male | A -71Kg</t>
  </si>
  <si>
    <t>Senior Heren | Adult Male | A -78Kg</t>
  </si>
  <si>
    <t>Senior Dames | Adult Female | B -57Kg</t>
  </si>
  <si>
    <t>Senior Dames | Adult Female | B -63Kg</t>
  </si>
  <si>
    <t>Senior Dames | Adult Female | B +63Kg</t>
  </si>
  <si>
    <t>Senior Dames | Adult Female | A -57Kg</t>
  </si>
  <si>
    <t>Senior Dames | Adult Female | A -63Kg</t>
  </si>
  <si>
    <t>Senior Dames | Adult Female | A +63Kg</t>
  </si>
  <si>
    <t>Tigers Jongens | Tigers Male | A -20Kg</t>
  </si>
  <si>
    <t>Tigers Jongens | Tigers Male | A +25Kg</t>
  </si>
  <si>
    <t>Jeugd Jongens | Youth Boys | A +65Kg</t>
  </si>
  <si>
    <t>age</t>
  </si>
  <si>
    <t>gend</t>
  </si>
  <si>
    <t>grad</t>
  </si>
  <si>
    <t>weight</t>
  </si>
  <si>
    <t>min</t>
  </si>
  <si>
    <t>max</t>
  </si>
  <si>
    <t>lower</t>
  </si>
  <si>
    <t>naam spar categorie</t>
  </si>
  <si>
    <t>Senior Heren | Adult Male | B +85Kg</t>
  </si>
  <si>
    <t>Senior Heren | Adult Male | A +85Kg</t>
  </si>
  <si>
    <t>Leeftijd classes</t>
  </si>
  <si>
    <t>male</t>
  </si>
  <si>
    <t>female</t>
  </si>
  <si>
    <t>selectie_weight_range_jeugd_jongens_range</t>
  </si>
  <si>
    <t>selectie_weight_range_jeugd_meisjes_range</t>
  </si>
  <si>
    <t>selectie_weight_range_junior_heren_range</t>
  </si>
  <si>
    <t>selectie_weight_range_senior_heren_range</t>
  </si>
  <si>
    <t>selectie_weight_range_junior_dames_range</t>
  </si>
  <si>
    <t>selectie_weight_range_senior_dames_range</t>
  </si>
  <si>
    <t>range naam</t>
  </si>
  <si>
    <t>age class</t>
  </si>
  <si>
    <t>Weight</t>
  </si>
  <si>
    <t>range</t>
  </si>
  <si>
    <t>name</t>
  </si>
  <si>
    <t>Jeugd - Youth</t>
  </si>
  <si>
    <t>Junior - Junior</t>
  </si>
  <si>
    <t>Senior - Adult</t>
  </si>
  <si>
    <t>klas naam</t>
  </si>
  <si>
    <t>offset</t>
  </si>
  <si>
    <t>a/b</t>
  </si>
  <si>
    <t>spar</t>
  </si>
  <si>
    <t>Senior Heren | Adult Male | A -85Kg</t>
  </si>
  <si>
    <t>NL</t>
  </si>
  <si>
    <t>Taal</t>
  </si>
  <si>
    <t>EN</t>
  </si>
  <si>
    <t>Kosten overzicht</t>
  </si>
  <si>
    <t>Boetes overzicht</t>
  </si>
  <si>
    <t>Selectie</t>
  </si>
  <si>
    <t>Teksten</t>
  </si>
  <si>
    <t>!! First save workbook, then mail file.</t>
  </si>
  <si>
    <t>Subject</t>
  </si>
  <si>
    <t>Number</t>
  </si>
  <si>
    <t>Costs</t>
  </si>
  <si>
    <t>Penalty</t>
  </si>
  <si>
    <t xml:space="preserve">Participants Tuls only : </t>
  </si>
  <si>
    <t xml:space="preserve">Participants Spar only : </t>
  </si>
  <si>
    <t xml:space="preserve">Participants Tuls &amp; Spar : </t>
  </si>
  <si>
    <t xml:space="preserve">Participants Total : </t>
  </si>
  <si>
    <t xml:space="preserve">Totaal kosten : </t>
  </si>
  <si>
    <t xml:space="preserve">Total Costs : </t>
  </si>
  <si>
    <t xml:space="preserve">Te weinig scheidsrechters : </t>
  </si>
  <si>
    <t xml:space="preserve">Boetes totaal : </t>
  </si>
  <si>
    <t xml:space="preserve">Total Penalty's : </t>
  </si>
  <si>
    <t xml:space="preserve">Coach 1 : </t>
  </si>
  <si>
    <t xml:space="preserve">Coach 2 : </t>
  </si>
  <si>
    <t xml:space="preserve">Coach 3 : </t>
  </si>
  <si>
    <t xml:space="preserve">Taekyon center : </t>
  </si>
  <si>
    <t xml:space="preserve">Address : </t>
  </si>
  <si>
    <t xml:space="preserve">Post code and City : </t>
  </si>
  <si>
    <t xml:space="preserve">Name Coach(es) : </t>
  </si>
  <si>
    <t>Not OK. No participants.</t>
  </si>
  <si>
    <t>Niet OK. Geen deelnemers.</t>
  </si>
  <si>
    <t xml:space="preserve">Telephone : </t>
  </si>
  <si>
    <t xml:space="preserve">Scheidsrechters : </t>
  </si>
  <si>
    <t>Name umpire</t>
  </si>
  <si>
    <t>Graduation</t>
  </si>
  <si>
    <t>License</t>
  </si>
  <si>
    <t>Preference</t>
  </si>
  <si>
    <t xml:space="preserve">Verplicht : </t>
  </si>
  <si>
    <t xml:space="preserve">Toegestaan : </t>
  </si>
  <si>
    <t xml:space="preserve">Mandatory : </t>
  </si>
  <si>
    <t xml:space="preserve">Allowed : </t>
  </si>
  <si>
    <t>First Name</t>
  </si>
  <si>
    <t>Prefix
Surname</t>
  </si>
  <si>
    <t>Surname</t>
  </si>
  <si>
    <t>Date of birth</t>
  </si>
  <si>
    <t>Gender</t>
  </si>
  <si>
    <t>Weigth</t>
  </si>
  <si>
    <t>Day / Month / Year</t>
  </si>
  <si>
    <t>M / F</t>
  </si>
  <si>
    <t>Yes / No</t>
  </si>
  <si>
    <t>Tuls
Class</t>
  </si>
  <si>
    <t>Sparring
Class</t>
  </si>
  <si>
    <t xml:space="preserve">Inschrijf formulier "Open Taekyon Toernooi" op Zondag </t>
  </si>
  <si>
    <t xml:space="preserve">Registration form "Open Taekyon Tournament" at  Sunday </t>
  </si>
  <si>
    <t>Mail completed form as</t>
  </si>
  <si>
    <t>attachment to :</t>
  </si>
  <si>
    <t xml:space="preserve">Too few Umpires: </t>
  </si>
  <si>
    <t xml:space="preserve">Mail Inschrijf formulier voor </t>
  </si>
  <si>
    <t xml:space="preserve">Mail registration form before </t>
  </si>
  <si>
    <t>F</t>
  </si>
  <si>
    <t>Corner</t>
  </si>
  <si>
    <t>Area</t>
  </si>
  <si>
    <t>info@taekyonberghem.nl</t>
  </si>
  <si>
    <t>Copyright © 2024 Taekyon Berghem</t>
  </si>
  <si>
    <t xml:space="preserve">Coach 4 : </t>
  </si>
  <si>
    <t xml:space="preserve">Coach 5 : </t>
  </si>
  <si>
    <t>Indien groter coach 5</t>
  </si>
  <si>
    <t>Minimum leeftijd</t>
  </si>
  <si>
    <t>min geb datum</t>
  </si>
  <si>
    <t xml:space="preserve">max geb datum </t>
  </si>
  <si>
    <t>wvdmortel16@gmail.com</t>
  </si>
  <si>
    <t>Willy van de Mortel</t>
  </si>
  <si>
    <t>Difesa Sports</t>
  </si>
  <si>
    <t>Jan Visserhof 6</t>
  </si>
  <si>
    <t>5709 EA. Helmond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</si>
</sst>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m/yyyy"/>
    <numFmt numFmtId="165" formatCode="[$€-2]\ #,##0.00"/>
    <numFmt numFmtId="166" formatCode="&quot;€&quot;\ #,##0.00"/>
    <numFmt numFmtId="167" formatCode="dddd/dd/mmm/yyyy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2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dashed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dashed">
        <color indexed="64"/>
      </left>
      <right style="hair">
        <color auto="1"/>
      </right>
      <top/>
      <bottom/>
      <diagonal/>
    </border>
    <border>
      <left style="dashed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64"/>
      </top>
      <bottom style="hair">
        <color indexed="8"/>
      </bottom>
      <diagonal/>
    </border>
    <border>
      <left style="thin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auto="1"/>
      </right>
      <top style="hair">
        <color indexed="8"/>
      </top>
      <bottom style="double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uble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otted">
        <color auto="1"/>
      </right>
      <top style="hair">
        <color indexed="64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double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indexed="64"/>
      </right>
      <top/>
      <bottom/>
      <diagonal/>
    </border>
    <border>
      <left style="dotted">
        <color auto="1"/>
      </left>
      <right style="double">
        <color indexed="64"/>
      </right>
      <top/>
      <bottom style="double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auto="1"/>
      </right>
      <top style="hair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 style="double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1" fillId="0" borderId="0" applyNumberFormat="0" applyFill="0" applyBorder="0" applyProtection="0"/>
  </cellStyleXfs>
  <cellXfs count="407">
    <xf numFmtId="0" fontId="0" fillId="0" borderId="0" xfId="0"/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0" borderId="0" xfId="0" applyProtection="1">
      <protection hidden="1"/>
    </xf>
    <xf numFmtId="0" fontId="0" fillId="3" borderId="46" xfId="0" applyFill="1" applyBorder="1" applyProtection="1">
      <protection hidden="1"/>
    </xf>
    <xf numFmtId="0" fontId="0" fillId="3" borderId="48" xfId="0" applyFill="1" applyBorder="1" applyAlignment="1" applyProtection="1">
      <alignment horizontal="center" vertical="center"/>
      <protection hidden="1"/>
    </xf>
    <xf numFmtId="0" fontId="10" fillId="0" borderId="39" xfId="0" applyFont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50" xfId="0" applyFont="1" applyBorder="1" applyProtection="1"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52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12" fillId="0" borderId="39" xfId="0" applyFont="1" applyBorder="1" applyProtection="1"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3" borderId="47" xfId="0" applyFill="1" applyBorder="1" applyAlignment="1" applyProtection="1">
      <alignment horizontal="center" vertical="center"/>
      <protection hidden="1"/>
    </xf>
    <xf numFmtId="0" fontId="12" fillId="0" borderId="41" xfId="0" applyFont="1" applyBorder="1" applyProtection="1"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65" fontId="0" fillId="0" borderId="50" xfId="0" applyNumberFormat="1" applyBorder="1" applyAlignment="1" applyProtection="1">
      <alignment horizontal="center" vertical="center"/>
      <protection hidden="1"/>
    </xf>
    <xf numFmtId="0" fontId="0" fillId="0" borderId="24" xfId="0" applyBorder="1" applyProtection="1">
      <protection hidden="1"/>
    </xf>
    <xf numFmtId="0" fontId="0" fillId="0" borderId="57" xfId="0" applyBorder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5" fontId="0" fillId="0" borderId="41" xfId="0" applyNumberFormat="1" applyBorder="1" applyAlignment="1" applyProtection="1">
      <alignment horizontal="center" vertical="center"/>
      <protection hidden="1"/>
    </xf>
    <xf numFmtId="0" fontId="0" fillId="0" borderId="42" xfId="0" applyBorder="1" applyProtection="1">
      <protection hidden="1"/>
    </xf>
    <xf numFmtId="0" fontId="0" fillId="0" borderId="43" xfId="0" applyBorder="1" applyProtection="1">
      <protection hidden="1"/>
    </xf>
    <xf numFmtId="0" fontId="0" fillId="3" borderId="61" xfId="0" applyFill="1" applyBorder="1" applyProtection="1">
      <protection hidden="1"/>
    </xf>
    <xf numFmtId="0" fontId="0" fillId="3" borderId="62" xfId="0" applyFill="1" applyBorder="1" applyProtection="1">
      <protection hidden="1"/>
    </xf>
    <xf numFmtId="0" fontId="0" fillId="0" borderId="65" xfId="0" applyBorder="1" applyAlignment="1" applyProtection="1">
      <alignment horizontal="center" vertical="center"/>
      <protection hidden="1"/>
    </xf>
    <xf numFmtId="0" fontId="0" fillId="0" borderId="66" xfId="0" applyBorder="1" applyAlignment="1" applyProtection="1">
      <alignment horizontal="center" vertical="center"/>
      <protection hidden="1"/>
    </xf>
    <xf numFmtId="0" fontId="0" fillId="0" borderId="22" xfId="0" applyBorder="1" applyProtection="1">
      <protection hidden="1"/>
    </xf>
    <xf numFmtId="0" fontId="0" fillId="0" borderId="67" xfId="0" applyBorder="1" applyProtection="1"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165" fontId="0" fillId="0" borderId="70" xfId="0" applyNumberFormat="1" applyBorder="1" applyAlignment="1" applyProtection="1">
      <alignment horizontal="center" vertical="center"/>
      <protection hidden="1"/>
    </xf>
    <xf numFmtId="0" fontId="0" fillId="0" borderId="72" xfId="0" applyBorder="1" applyAlignment="1" applyProtection="1">
      <alignment horizontal="center" vertical="center"/>
      <protection hidden="1"/>
    </xf>
    <xf numFmtId="0" fontId="0" fillId="0" borderId="73" xfId="0" applyBorder="1" applyAlignment="1" applyProtection="1">
      <alignment horizontal="center" vertical="center"/>
      <protection hidden="1"/>
    </xf>
    <xf numFmtId="0" fontId="0" fillId="0" borderId="74" xfId="0" applyBorder="1" applyProtection="1">
      <protection hidden="1"/>
    </xf>
    <xf numFmtId="0" fontId="0" fillId="0" borderId="75" xfId="0" applyBorder="1" applyProtection="1">
      <protection hidden="1"/>
    </xf>
    <xf numFmtId="0" fontId="0" fillId="3" borderId="62" xfId="0" applyFill="1" applyBorder="1" applyAlignment="1" applyProtection="1">
      <alignment horizontal="center" vertical="center"/>
      <protection hidden="1"/>
    </xf>
    <xf numFmtId="0" fontId="0" fillId="3" borderId="63" xfId="0" applyFill="1" applyBorder="1" applyAlignment="1" applyProtection="1">
      <alignment horizontal="center" vertical="center"/>
      <protection hidden="1"/>
    </xf>
    <xf numFmtId="0" fontId="0" fillId="3" borderId="64" xfId="0" applyFill="1" applyBorder="1" applyProtection="1"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3" borderId="85" xfId="0" applyFill="1" applyBorder="1" applyAlignment="1" applyProtection="1">
      <alignment horizontal="center" vertical="center"/>
      <protection hidden="1"/>
    </xf>
    <xf numFmtId="0" fontId="0" fillId="3" borderId="88" xfId="0" applyFill="1" applyBorder="1" applyAlignment="1" applyProtection="1">
      <alignment horizontal="center" vertical="center"/>
      <protection hidden="1"/>
    </xf>
    <xf numFmtId="0" fontId="0" fillId="3" borderId="79" xfId="0" applyFill="1" applyBorder="1" applyProtection="1">
      <protection hidden="1"/>
    </xf>
    <xf numFmtId="0" fontId="15" fillId="0" borderId="86" xfId="0" applyFont="1" applyBorder="1" applyAlignment="1" applyProtection="1">
      <alignment horizontal="center" vertical="center"/>
      <protection hidden="1"/>
    </xf>
    <xf numFmtId="165" fontId="15" fillId="0" borderId="52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65" fontId="0" fillId="0" borderId="78" xfId="0" applyNumberFormat="1" applyBorder="1" applyAlignment="1" applyProtection="1">
      <alignment horizontal="left" vertical="center"/>
      <protection hidden="1"/>
    </xf>
    <xf numFmtId="0" fontId="0" fillId="0" borderId="86" xfId="0" applyBorder="1" applyAlignment="1" applyProtection="1">
      <alignment horizontal="center" vertical="center"/>
      <protection hidden="1"/>
    </xf>
    <xf numFmtId="0" fontId="0" fillId="0" borderId="78" xfId="0" applyBorder="1" applyAlignment="1" applyProtection="1">
      <alignment horizontal="left"/>
      <protection hidden="1"/>
    </xf>
    <xf numFmtId="0" fontId="0" fillId="0" borderId="86" xfId="0" quotePrefix="1" applyBorder="1" applyAlignment="1" applyProtection="1">
      <alignment horizontal="right" vertical="center"/>
      <protection hidden="1"/>
    </xf>
    <xf numFmtId="0" fontId="0" fillId="0" borderId="84" xfId="0" quotePrefix="1" applyBorder="1" applyAlignment="1" applyProtection="1">
      <alignment horizontal="right" vertical="center"/>
      <protection hidden="1"/>
    </xf>
    <xf numFmtId="165" fontId="15" fillId="0" borderId="78" xfId="0" applyNumberFormat="1" applyFont="1" applyBorder="1" applyAlignment="1" applyProtection="1">
      <alignment horizontal="left" vertical="center"/>
      <protection hidden="1"/>
    </xf>
    <xf numFmtId="0" fontId="0" fillId="0" borderId="86" xfId="0" applyBorder="1" applyProtection="1">
      <protection hidden="1"/>
    </xf>
    <xf numFmtId="0" fontId="0" fillId="0" borderId="52" xfId="0" applyBorder="1" applyProtection="1">
      <protection hidden="1"/>
    </xf>
    <xf numFmtId="0" fontId="0" fillId="0" borderId="78" xfId="0" applyBorder="1" applyProtection="1">
      <protection hidden="1"/>
    </xf>
    <xf numFmtId="0" fontId="0" fillId="0" borderId="87" xfId="0" applyBorder="1" applyProtection="1">
      <protection hidden="1"/>
    </xf>
    <xf numFmtId="165" fontId="14" fillId="0" borderId="55" xfId="0" applyNumberFormat="1" applyFont="1" applyBorder="1" applyAlignment="1" applyProtection="1">
      <alignment horizontal="right" vertical="center"/>
      <protection hidden="1"/>
    </xf>
    <xf numFmtId="0" fontId="0" fillId="0" borderId="63" xfId="0" applyBorder="1" applyProtection="1">
      <protection hidden="1"/>
    </xf>
    <xf numFmtId="0" fontId="0" fillId="0" borderId="62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6" xfId="0" applyBorder="1" applyProtection="1">
      <protection hidden="1"/>
    </xf>
    <xf numFmtId="0" fontId="0" fillId="2" borderId="5" xfId="0" applyFill="1" applyBorder="1" applyProtection="1">
      <protection hidden="1"/>
    </xf>
    <xf numFmtId="0" fontId="3" fillId="2" borderId="20" xfId="0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7" fillId="3" borderId="29" xfId="0" applyFont="1" applyFill="1" applyBorder="1" applyAlignment="1" applyProtection="1">
      <alignment horizontal="center" vertical="center"/>
      <protection hidden="1"/>
    </xf>
    <xf numFmtId="0" fontId="7" fillId="3" borderId="31" xfId="0" applyFont="1" applyFill="1" applyBorder="1" applyAlignment="1" applyProtection="1">
      <alignment horizontal="center" vertical="center"/>
      <protection hidden="1"/>
    </xf>
    <xf numFmtId="0" fontId="7" fillId="3" borderId="32" xfId="0" applyFont="1" applyFill="1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left" vertical="center"/>
      <protection hidden="1"/>
    </xf>
    <xf numFmtId="0" fontId="7" fillId="3" borderId="33" xfId="0" applyFont="1" applyFill="1" applyBorder="1" applyAlignment="1" applyProtection="1">
      <alignment horizontal="center" vertical="center"/>
      <protection hidden="1"/>
    </xf>
    <xf numFmtId="0" fontId="7" fillId="3" borderId="34" xfId="0" applyFont="1" applyFill="1" applyBorder="1" applyAlignment="1" applyProtection="1">
      <alignment horizontal="center" vertical="center"/>
      <protection hidden="1"/>
    </xf>
    <xf numFmtId="0" fontId="7" fillId="3" borderId="36" xfId="0" applyFont="1" applyFill="1" applyBorder="1" applyAlignment="1" applyProtection="1">
      <alignment horizontal="center" vertical="center"/>
      <protection hidden="1"/>
    </xf>
    <xf numFmtId="0" fontId="7" fillId="3" borderId="37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3" borderId="44" xfId="0" applyFont="1" applyFill="1" applyBorder="1" applyAlignment="1" applyProtection="1">
      <alignment horizontal="center" vertical="center"/>
      <protection hidden="1"/>
    </xf>
    <xf numFmtId="0" fontId="1" fillId="3" borderId="80" xfId="0" applyFont="1" applyFill="1" applyBorder="1" applyAlignment="1" applyProtection="1">
      <alignment horizontal="center" vertical="center"/>
      <protection hidden="1"/>
    </xf>
    <xf numFmtId="0" fontId="1" fillId="3" borderId="45" xfId="0" applyFont="1" applyFill="1" applyBorder="1" applyAlignment="1" applyProtection="1">
      <alignment horizontal="center" vertical="center"/>
      <protection hidden="1"/>
    </xf>
    <xf numFmtId="0" fontId="1" fillId="3" borderId="8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1" applyFont="1" applyAlignment="1" applyProtection="1">
      <alignment horizontal="left" vertical="center"/>
      <protection locked="0"/>
    </xf>
    <xf numFmtId="0" fontId="6" fillId="0" borderId="90" xfId="0" applyFont="1" applyBorder="1" applyAlignment="1" applyProtection="1">
      <alignment horizontal="left" vertical="center"/>
      <protection locked="0"/>
    </xf>
    <xf numFmtId="0" fontId="4" fillId="2" borderId="92" xfId="0" applyFont="1" applyFill="1" applyBorder="1" applyAlignment="1" applyProtection="1">
      <alignment horizontal="center" vertical="center"/>
      <protection hidden="1"/>
    </xf>
    <xf numFmtId="0" fontId="6" fillId="0" borderId="93" xfId="0" applyFont="1" applyBorder="1" applyAlignment="1" applyProtection="1">
      <alignment horizontal="left" vertical="center"/>
      <protection locked="0"/>
    </xf>
    <xf numFmtId="0" fontId="4" fillId="2" borderId="95" xfId="0" applyFont="1" applyFill="1" applyBorder="1" applyAlignment="1" applyProtection="1">
      <alignment horizontal="center" vertical="center"/>
      <protection hidden="1"/>
    </xf>
    <xf numFmtId="0" fontId="4" fillId="2" borderId="96" xfId="0" applyFont="1" applyFill="1" applyBorder="1" applyAlignment="1" applyProtection="1">
      <alignment horizontal="center" vertical="center"/>
      <protection hidden="1"/>
    </xf>
    <xf numFmtId="0" fontId="4" fillId="2" borderId="97" xfId="0" applyFont="1" applyFill="1" applyBorder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19" fillId="0" borderId="59" xfId="0" applyFont="1" applyBorder="1" applyProtection="1">
      <protection hidden="1"/>
    </xf>
    <xf numFmtId="0" fontId="19" fillId="0" borderId="0" xfId="0" applyFont="1" applyProtection="1">
      <protection hidden="1"/>
    </xf>
    <xf numFmtId="0" fontId="20" fillId="0" borderId="59" xfId="0" applyFont="1" applyBorder="1" applyProtection="1">
      <protection hidden="1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91" xfId="0" applyFont="1" applyBorder="1" applyAlignment="1" applyProtection="1">
      <alignment horizontal="left" vertical="center"/>
      <protection locked="0"/>
    </xf>
    <xf numFmtId="0" fontId="23" fillId="0" borderId="94" xfId="0" applyFont="1" applyBorder="1" applyAlignment="1" applyProtection="1">
      <alignment horizontal="left" vertical="center"/>
      <protection locked="0"/>
    </xf>
    <xf numFmtId="49" fontId="22" fillId="5" borderId="99" xfId="2" applyNumberFormat="1" applyFont="1" applyFill="1" applyBorder="1" applyAlignment="1" applyProtection="1">
      <alignment horizontal="left" vertical="center"/>
      <protection locked="0"/>
    </xf>
    <xf numFmtId="0" fontId="22" fillId="5" borderId="98" xfId="2" applyFont="1" applyFill="1" applyBorder="1" applyAlignment="1" applyProtection="1">
      <alignment horizontal="left" vertical="center"/>
      <protection locked="0"/>
    </xf>
    <xf numFmtId="49" fontId="22" fillId="5" borderId="98" xfId="2" applyNumberFormat="1" applyFont="1" applyFill="1" applyBorder="1" applyAlignment="1" applyProtection="1">
      <alignment horizontal="left" vertical="center"/>
      <protection locked="0"/>
    </xf>
    <xf numFmtId="1" fontId="22" fillId="5" borderId="101" xfId="2" applyNumberFormat="1" applyFont="1" applyFill="1" applyBorder="1" applyAlignment="1" applyProtection="1">
      <alignment horizontal="center" vertical="center"/>
      <protection locked="0"/>
    </xf>
    <xf numFmtId="1" fontId="22" fillId="5" borderId="102" xfId="2" applyNumberFormat="1" applyFont="1" applyFill="1" applyBorder="1" applyAlignment="1" applyProtection="1">
      <alignment horizontal="center" vertical="center"/>
      <protection locked="0"/>
    </xf>
    <xf numFmtId="0" fontId="5" fillId="0" borderId="0" xfId="1" applyAlignment="1" applyProtection="1">
      <alignment horizontal="center" vertical="center"/>
      <protection locked="0"/>
    </xf>
    <xf numFmtId="167" fontId="2" fillId="0" borderId="0" xfId="0" applyNumberFormat="1" applyFont="1" applyAlignment="1" applyProtection="1">
      <alignment vertical="center"/>
      <protection hidden="1"/>
    </xf>
    <xf numFmtId="0" fontId="5" fillId="0" borderId="0" xfId="1" applyProtection="1">
      <protection hidden="1"/>
    </xf>
    <xf numFmtId="0" fontId="23" fillId="6" borderId="38" xfId="0" applyFont="1" applyFill="1" applyBorder="1" applyAlignment="1" applyProtection="1">
      <alignment horizontal="center" vertical="center"/>
      <protection hidden="1"/>
    </xf>
    <xf numFmtId="2" fontId="23" fillId="6" borderId="89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24" fillId="0" borderId="0" xfId="0" applyFont="1"/>
    <xf numFmtId="0" fontId="25" fillId="0" borderId="0" xfId="0" applyFont="1" applyProtection="1">
      <protection hidden="1"/>
    </xf>
    <xf numFmtId="0" fontId="0" fillId="3" borderId="104" xfId="0" applyFill="1" applyBorder="1"/>
    <xf numFmtId="0" fontId="0" fillId="3" borderId="105" xfId="0" applyFill="1" applyBorder="1"/>
    <xf numFmtId="0" fontId="0" fillId="3" borderId="106" xfId="0" applyFill="1" applyBorder="1"/>
    <xf numFmtId="0" fontId="0" fillId="0" borderId="107" xfId="0" applyBorder="1" applyAlignment="1">
      <alignment horizontal="center" vertical="center"/>
    </xf>
    <xf numFmtId="0" fontId="0" fillId="0" borderId="108" xfId="0" applyBorder="1"/>
    <xf numFmtId="0" fontId="0" fillId="0" borderId="109" xfId="0" applyBorder="1"/>
    <xf numFmtId="0" fontId="0" fillId="0" borderId="108" xfId="0" applyBorder="1" applyProtection="1">
      <protection hidden="1"/>
    </xf>
    <xf numFmtId="0" fontId="0" fillId="0" borderId="109" xfId="0" applyBorder="1" applyProtection="1">
      <protection hidden="1"/>
    </xf>
    <xf numFmtId="0" fontId="0" fillId="0" borderId="111" xfId="0" applyBorder="1" applyProtection="1">
      <protection hidden="1"/>
    </xf>
    <xf numFmtId="0" fontId="0" fillId="0" borderId="112" xfId="0" applyBorder="1" applyProtection="1">
      <protection hidden="1"/>
    </xf>
    <xf numFmtId="0" fontId="0" fillId="0" borderId="107" xfId="0" applyBorder="1"/>
    <xf numFmtId="0" fontId="0" fillId="0" borderId="110" xfId="0" applyBorder="1"/>
    <xf numFmtId="0" fontId="0" fillId="0" borderId="113" xfId="0" applyBorder="1" applyAlignment="1">
      <alignment horizontal="center" vertical="center"/>
    </xf>
    <xf numFmtId="0" fontId="23" fillId="6" borderId="38" xfId="0" applyFont="1" applyFill="1" applyBorder="1" applyAlignment="1" applyProtection="1">
      <alignment horizontal="left" vertical="center"/>
      <protection hidden="1"/>
    </xf>
    <xf numFmtId="0" fontId="0" fillId="7" borderId="0" xfId="0" applyFill="1"/>
    <xf numFmtId="0" fontId="0" fillId="3" borderId="46" xfId="0" applyFill="1" applyBorder="1" applyAlignment="1">
      <alignment horizontal="center" vertical="center"/>
    </xf>
    <xf numFmtId="0" fontId="0" fillId="3" borderId="56" xfId="0" applyFill="1" applyBorder="1"/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60" xfId="0" applyFill="1" applyBorder="1"/>
    <xf numFmtId="0" fontId="0" fillId="3" borderId="63" xfId="0" applyFill="1" applyBorder="1" applyAlignment="1">
      <alignment horizontal="center" vertical="center"/>
    </xf>
    <xf numFmtId="0" fontId="0" fillId="3" borderId="64" xfId="0" applyFill="1" applyBorder="1"/>
    <xf numFmtId="0" fontId="0" fillId="8" borderId="0" xfId="0" applyFill="1" applyAlignment="1">
      <alignment horizontal="center" vertical="center"/>
    </xf>
    <xf numFmtId="0" fontId="0" fillId="8" borderId="0" xfId="0" applyFill="1"/>
    <xf numFmtId="0" fontId="0" fillId="7" borderId="0" xfId="0" applyFill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0" borderId="114" xfId="0" applyBorder="1" applyAlignment="1" applyProtection="1">
      <alignment horizontal="center" vertical="center"/>
      <protection hidden="1"/>
    </xf>
    <xf numFmtId="0" fontId="0" fillId="0" borderId="115" xfId="0" applyBorder="1" applyAlignment="1" applyProtection="1">
      <alignment horizontal="center" vertical="center"/>
      <protection hidden="1"/>
    </xf>
    <xf numFmtId="0" fontId="0" fillId="0" borderId="116" xfId="0" applyBorder="1" applyAlignment="1" applyProtection="1">
      <alignment horizontal="center" vertical="center"/>
      <protection hidden="1"/>
    </xf>
    <xf numFmtId="0" fontId="0" fillId="0" borderId="117" xfId="0" applyBorder="1" applyAlignment="1" applyProtection="1">
      <alignment horizontal="center" vertical="center"/>
      <protection hidden="1"/>
    </xf>
    <xf numFmtId="0" fontId="0" fillId="0" borderId="118" xfId="0" applyBorder="1" applyAlignment="1" applyProtection="1">
      <alignment horizontal="center" vertical="center"/>
      <protection hidden="1"/>
    </xf>
    <xf numFmtId="0" fontId="0" fillId="0" borderId="119" xfId="0" applyBorder="1" applyAlignment="1" applyProtection="1">
      <alignment horizontal="center" vertical="center"/>
      <protection hidden="1"/>
    </xf>
    <xf numFmtId="0" fontId="0" fillId="0" borderId="124" xfId="0" applyBorder="1" applyAlignment="1" applyProtection="1">
      <alignment horizontal="center" vertical="center"/>
      <protection hidden="1"/>
    </xf>
    <xf numFmtId="0" fontId="0" fillId="0" borderId="125" xfId="0" applyBorder="1" applyAlignment="1" applyProtection="1">
      <alignment horizontal="center" vertical="center"/>
      <protection hidden="1"/>
    </xf>
    <xf numFmtId="0" fontId="0" fillId="0" borderId="132" xfId="0" applyBorder="1" applyAlignment="1" applyProtection="1">
      <alignment horizontal="center" vertical="center"/>
      <protection hidden="1"/>
    </xf>
    <xf numFmtId="0" fontId="0" fillId="0" borderId="123" xfId="0" applyBorder="1"/>
    <xf numFmtId="0" fontId="0" fillId="0" borderId="133" xfId="0" applyBorder="1" applyAlignment="1" applyProtection="1">
      <alignment horizontal="center" vertical="center"/>
      <protection hidden="1"/>
    </xf>
    <xf numFmtId="0" fontId="0" fillId="0" borderId="126" xfId="0" applyBorder="1"/>
    <xf numFmtId="0" fontId="0" fillId="0" borderId="140" xfId="0" applyBorder="1"/>
    <xf numFmtId="0" fontId="0" fillId="0" borderId="141" xfId="0" applyBorder="1"/>
    <xf numFmtId="0" fontId="0" fillId="0" borderId="124" xfId="0" applyBorder="1" applyAlignment="1" applyProtection="1">
      <alignment horizontal="center"/>
      <protection hidden="1"/>
    </xf>
    <xf numFmtId="0" fontId="0" fillId="0" borderId="125" xfId="0" applyBorder="1" applyAlignment="1" applyProtection="1">
      <alignment horizontal="center"/>
      <protection hidden="1"/>
    </xf>
    <xf numFmtId="0" fontId="0" fillId="0" borderId="144" xfId="0" applyBorder="1" applyAlignment="1" applyProtection="1">
      <alignment horizontal="center" vertical="center"/>
      <protection hidden="1"/>
    </xf>
    <xf numFmtId="0" fontId="0" fillId="0" borderId="144" xfId="0" applyBorder="1"/>
    <xf numFmtId="0" fontId="0" fillId="0" borderId="148" xfId="0" applyBorder="1" applyAlignment="1" applyProtection="1">
      <alignment horizontal="center" vertical="center"/>
      <protection hidden="1"/>
    </xf>
    <xf numFmtId="0" fontId="0" fillId="0" borderId="149" xfId="0" applyBorder="1" applyAlignment="1" applyProtection="1">
      <alignment horizontal="center" vertical="center"/>
      <protection hidden="1"/>
    </xf>
    <xf numFmtId="0" fontId="0" fillId="0" borderId="149" xfId="0" applyBorder="1" applyAlignment="1" applyProtection="1">
      <alignment horizontal="center"/>
      <protection hidden="1"/>
    </xf>
    <xf numFmtId="0" fontId="0" fillId="0" borderId="148" xfId="0" applyBorder="1" applyProtection="1">
      <protection hidden="1"/>
    </xf>
    <xf numFmtId="0" fontId="0" fillId="0" borderId="150" xfId="0" applyBorder="1" applyAlignment="1" applyProtection="1">
      <alignment horizontal="center"/>
      <protection hidden="1"/>
    </xf>
    <xf numFmtId="0" fontId="0" fillId="0" borderId="151" xfId="0" applyBorder="1"/>
    <xf numFmtId="0" fontId="0" fillId="0" borderId="152" xfId="0" applyBorder="1" applyProtection="1">
      <protection hidden="1"/>
    </xf>
    <xf numFmtId="0" fontId="0" fillId="8" borderId="136" xfId="0" applyFill="1" applyBorder="1" applyAlignment="1" applyProtection="1">
      <alignment horizontal="center" vertical="center"/>
      <protection hidden="1"/>
    </xf>
    <xf numFmtId="0" fontId="0" fillId="8" borderId="128" xfId="0" applyFill="1" applyBorder="1"/>
    <xf numFmtId="0" fontId="0" fillId="8" borderId="138" xfId="0" applyFill="1" applyBorder="1" applyAlignment="1" applyProtection="1">
      <alignment horizontal="center" vertical="center"/>
      <protection hidden="1"/>
    </xf>
    <xf numFmtId="0" fontId="0" fillId="8" borderId="130" xfId="0" applyFill="1" applyBorder="1" applyAlignment="1">
      <alignment horizontal="center" vertical="center"/>
    </xf>
    <xf numFmtId="0" fontId="0" fillId="8" borderId="122" xfId="0" applyFill="1" applyBorder="1" applyAlignment="1" applyProtection="1">
      <alignment horizontal="center" vertical="center"/>
      <protection hidden="1"/>
    </xf>
    <xf numFmtId="0" fontId="0" fillId="8" borderId="123" xfId="0" applyFill="1" applyBorder="1" applyAlignment="1" applyProtection="1">
      <alignment horizontal="center" vertical="center"/>
      <protection hidden="1"/>
    </xf>
    <xf numFmtId="0" fontId="0" fillId="8" borderId="124" xfId="0" applyFill="1" applyBorder="1" applyAlignment="1" applyProtection="1">
      <alignment horizontal="center" vertical="center"/>
      <protection hidden="1"/>
    </xf>
    <xf numFmtId="0" fontId="0" fillId="8" borderId="125" xfId="0" applyFill="1" applyBorder="1" applyAlignment="1" applyProtection="1">
      <alignment horizontal="center" vertical="center"/>
      <protection hidden="1"/>
    </xf>
    <xf numFmtId="0" fontId="0" fillId="8" borderId="126" xfId="0" applyFill="1" applyBorder="1" applyAlignment="1" applyProtection="1">
      <alignment horizontal="center" vertical="center"/>
      <protection hidden="1"/>
    </xf>
    <xf numFmtId="0" fontId="0" fillId="8" borderId="142" xfId="0" applyFill="1" applyBorder="1"/>
    <xf numFmtId="0" fontId="0" fillId="8" borderId="143" xfId="0" applyFill="1" applyBorder="1" applyAlignment="1">
      <alignment horizontal="center" vertical="center"/>
    </xf>
    <xf numFmtId="0" fontId="0" fillId="8" borderId="144" xfId="0" applyFill="1" applyBorder="1" applyAlignment="1" applyProtection="1">
      <alignment horizontal="center" vertical="center"/>
      <protection hidden="1"/>
    </xf>
    <xf numFmtId="0" fontId="0" fillId="7" borderId="127" xfId="0" applyFill="1" applyBorder="1" applyAlignment="1" applyProtection="1">
      <alignment horizontal="center" vertical="center"/>
      <protection hidden="1"/>
    </xf>
    <xf numFmtId="0" fontId="0" fillId="7" borderId="137" xfId="0" applyFill="1" applyBorder="1"/>
    <xf numFmtId="0" fontId="0" fillId="7" borderId="129" xfId="0" applyFill="1" applyBorder="1" applyAlignment="1" applyProtection="1">
      <alignment horizontal="center" vertical="center"/>
      <protection hidden="1"/>
    </xf>
    <xf numFmtId="0" fontId="0" fillId="7" borderId="139" xfId="0" applyFill="1" applyBorder="1" applyAlignment="1">
      <alignment horizontal="center" vertical="center"/>
    </xf>
    <xf numFmtId="0" fontId="0" fillId="7" borderId="131" xfId="0" applyFill="1" applyBorder="1" applyAlignment="1" applyProtection="1">
      <alignment horizontal="center" vertical="center"/>
      <protection hidden="1"/>
    </xf>
    <xf numFmtId="0" fontId="0" fillId="7" borderId="140" xfId="0" applyFill="1" applyBorder="1" applyAlignment="1" applyProtection="1">
      <alignment horizontal="center" vertical="center"/>
      <protection hidden="1"/>
    </xf>
    <xf numFmtId="0" fontId="0" fillId="7" borderId="132" xfId="0" applyFill="1" applyBorder="1" applyAlignment="1" applyProtection="1">
      <alignment horizontal="center" vertical="center"/>
      <protection hidden="1"/>
    </xf>
    <xf numFmtId="0" fontId="0" fillId="7" borderId="145" xfId="0" applyFill="1" applyBorder="1" applyAlignment="1" applyProtection="1">
      <alignment horizontal="center" vertical="center"/>
      <protection hidden="1"/>
    </xf>
    <xf numFmtId="0" fontId="0" fillId="7" borderId="146" xfId="0" applyFill="1" applyBorder="1"/>
    <xf numFmtId="0" fontId="0" fillId="7" borderId="44" xfId="0" applyFill="1" applyBorder="1" applyAlignment="1" applyProtection="1">
      <alignment horizontal="center" vertical="center"/>
      <protection hidden="1"/>
    </xf>
    <xf numFmtId="0" fontId="0" fillId="7" borderId="147" xfId="0" applyFill="1" applyBorder="1" applyAlignment="1">
      <alignment horizontal="center" vertical="center"/>
    </xf>
    <xf numFmtId="0" fontId="0" fillId="7" borderId="114" xfId="0" applyFill="1" applyBorder="1" applyAlignment="1" applyProtection="1">
      <alignment horizontal="center" vertical="center"/>
      <protection hidden="1"/>
    </xf>
    <xf numFmtId="0" fontId="0" fillId="7" borderId="148" xfId="0" applyFill="1" applyBorder="1" applyAlignment="1" applyProtection="1">
      <alignment horizontal="center" vertical="center"/>
      <protection hidden="1"/>
    </xf>
    <xf numFmtId="0" fontId="0" fillId="7" borderId="149" xfId="0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hidden="1"/>
    </xf>
    <xf numFmtId="0" fontId="0" fillId="0" borderId="0" xfId="0" quotePrefix="1" applyAlignment="1">
      <alignment horizontal="left"/>
    </xf>
    <xf numFmtId="0" fontId="23" fillId="6" borderId="153" xfId="0" applyFont="1" applyFill="1" applyBorder="1" applyAlignment="1" applyProtection="1">
      <alignment horizontal="center" vertical="center"/>
      <protection hidden="1"/>
    </xf>
    <xf numFmtId="0" fontId="23" fillId="6" borderId="153" xfId="0" applyFont="1" applyFill="1" applyBorder="1" applyAlignment="1" applyProtection="1">
      <alignment horizontal="left" vertical="center"/>
      <protection hidden="1"/>
    </xf>
    <xf numFmtId="2" fontId="23" fillId="6" borderId="154" xfId="0" applyNumberFormat="1" applyFont="1" applyFill="1" applyBorder="1" applyAlignment="1" applyProtection="1">
      <alignment horizontal="left" vertical="center"/>
      <protection hidden="1"/>
    </xf>
    <xf numFmtId="0" fontId="23" fillId="6" borderId="155" xfId="0" applyFont="1" applyFill="1" applyBorder="1" applyAlignment="1" applyProtection="1">
      <alignment horizontal="center" vertical="center"/>
      <protection hidden="1"/>
    </xf>
    <xf numFmtId="0" fontId="23" fillId="6" borderId="155" xfId="0" applyFont="1" applyFill="1" applyBorder="1" applyAlignment="1" applyProtection="1">
      <alignment horizontal="left" vertical="center"/>
      <protection hidden="1"/>
    </xf>
    <xf numFmtId="2" fontId="23" fillId="6" borderId="156" xfId="0" applyNumberFormat="1" applyFont="1" applyFill="1" applyBorder="1" applyAlignment="1" applyProtection="1">
      <alignment horizontal="left" vertical="center"/>
      <protection hidden="1"/>
    </xf>
    <xf numFmtId="0" fontId="0" fillId="0" borderId="50" xfId="0" applyBorder="1" applyProtection="1">
      <protection hidden="1"/>
    </xf>
    <xf numFmtId="0" fontId="0" fillId="0" borderId="57" xfId="0" applyBorder="1"/>
    <xf numFmtId="0" fontId="0" fillId="0" borderId="118" xfId="0" applyBorder="1" applyProtection="1">
      <protection hidden="1"/>
    </xf>
    <xf numFmtId="0" fontId="0" fillId="0" borderId="119" xfId="0" applyBorder="1"/>
    <xf numFmtId="0" fontId="0" fillId="3" borderId="157" xfId="0" applyFill="1" applyBorder="1" applyAlignment="1" applyProtection="1">
      <alignment horizontal="center" vertical="center"/>
      <protection hidden="1"/>
    </xf>
    <xf numFmtId="0" fontId="0" fillId="3" borderId="158" xfId="0" applyFill="1" applyBorder="1" applyAlignment="1" applyProtection="1">
      <alignment horizontal="center" vertical="center"/>
      <protection hidden="1"/>
    </xf>
    <xf numFmtId="0" fontId="0" fillId="3" borderId="157" xfId="0" applyFill="1" applyBorder="1" applyAlignment="1">
      <alignment horizontal="center" vertical="center"/>
    </xf>
    <xf numFmtId="0" fontId="0" fillId="3" borderId="158" xfId="0" applyFill="1" applyBorder="1" applyAlignment="1">
      <alignment horizontal="center" vertical="center"/>
    </xf>
    <xf numFmtId="0" fontId="0" fillId="0" borderId="0" xfId="0" quotePrefix="1" applyProtection="1">
      <protection hidden="1"/>
    </xf>
    <xf numFmtId="0" fontId="0" fillId="0" borderId="83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6" fillId="0" borderId="0" xfId="0" applyFont="1" applyAlignment="1">
      <alignment horizontal="left" vertical="center"/>
    </xf>
    <xf numFmtId="0" fontId="0" fillId="3" borderId="164" xfId="0" applyFill="1" applyBorder="1" applyAlignment="1" applyProtection="1">
      <alignment horizontal="center" vertical="center"/>
      <protection hidden="1"/>
    </xf>
    <xf numFmtId="0" fontId="0" fillId="3" borderId="158" xfId="0" applyFill="1" applyBorder="1" applyAlignment="1">
      <alignment horizontal="center"/>
    </xf>
    <xf numFmtId="0" fontId="0" fillId="0" borderId="165" xfId="0" applyBorder="1" applyAlignment="1" applyProtection="1">
      <alignment horizontal="center" vertical="center"/>
      <protection hidden="1"/>
    </xf>
    <xf numFmtId="0" fontId="0" fillId="0" borderId="166" xfId="0" applyBorder="1" applyAlignment="1" applyProtection="1">
      <alignment horizontal="center" vertical="center"/>
      <protection hidden="1"/>
    </xf>
    <xf numFmtId="0" fontId="0" fillId="0" borderId="167" xfId="0" applyBorder="1" applyAlignment="1">
      <alignment horizontal="center" vertical="center"/>
    </xf>
    <xf numFmtId="0" fontId="0" fillId="3" borderId="168" xfId="0" applyFill="1" applyBorder="1" applyAlignment="1">
      <alignment horizontal="center" vertical="center"/>
    </xf>
    <xf numFmtId="0" fontId="0" fillId="3" borderId="169" xfId="0" applyFill="1" applyBorder="1" applyAlignment="1" applyProtection="1">
      <alignment horizontal="center" vertical="center"/>
      <protection hidden="1"/>
    </xf>
    <xf numFmtId="49" fontId="22" fillId="5" borderId="175" xfId="2" applyNumberFormat="1" applyFont="1" applyFill="1" applyBorder="1" applyAlignment="1" applyProtection="1">
      <alignment horizontal="center" vertical="center"/>
      <protection locked="0"/>
    </xf>
    <xf numFmtId="49" fontId="22" fillId="5" borderId="176" xfId="2" applyNumberFormat="1" applyFont="1" applyFill="1" applyBorder="1" applyAlignment="1" applyProtection="1">
      <alignment horizontal="center" vertical="center"/>
      <protection locked="0"/>
    </xf>
    <xf numFmtId="49" fontId="22" fillId="5" borderId="177" xfId="2" applyNumberFormat="1" applyFont="1" applyFill="1" applyBorder="1" applyProtection="1">
      <protection locked="0"/>
    </xf>
    <xf numFmtId="49" fontId="22" fillId="5" borderId="178" xfId="2" applyNumberFormat="1" applyFont="1" applyFill="1" applyBorder="1" applyAlignment="1" applyProtection="1">
      <alignment horizontal="center" vertical="center"/>
      <protection locked="0"/>
    </xf>
    <xf numFmtId="49" fontId="22" fillId="5" borderId="177" xfId="2" applyNumberFormat="1" applyFont="1" applyFill="1" applyBorder="1" applyAlignment="1" applyProtection="1">
      <alignment horizontal="center" vertical="center"/>
      <protection locked="0"/>
    </xf>
    <xf numFmtId="49" fontId="22" fillId="5" borderId="179" xfId="2" applyNumberFormat="1" applyFont="1" applyFill="1" applyBorder="1" applyProtection="1">
      <protection locked="0"/>
    </xf>
    <xf numFmtId="49" fontId="22" fillId="5" borderId="180" xfId="2" applyNumberFormat="1" applyFont="1" applyFill="1" applyBorder="1" applyAlignment="1" applyProtection="1">
      <alignment horizontal="center" vertical="center"/>
      <protection locked="0"/>
    </xf>
    <xf numFmtId="49" fontId="22" fillId="5" borderId="179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hidden="1"/>
    </xf>
    <xf numFmtId="0" fontId="3" fillId="2" borderId="7" xfId="0" applyFont="1" applyFill="1" applyBorder="1" applyAlignment="1" applyProtection="1">
      <alignment horizontal="right" vertical="center"/>
      <protection hidden="1"/>
    </xf>
    <xf numFmtId="0" fontId="3" fillId="2" borderId="14" xfId="0" applyFont="1" applyFill="1" applyBorder="1" applyAlignment="1" applyProtection="1">
      <alignment horizontal="right" vertical="center"/>
      <protection hidden="1"/>
    </xf>
    <xf numFmtId="0" fontId="0" fillId="0" borderId="182" xfId="0" applyBorder="1" applyAlignment="1" applyProtection="1">
      <alignment horizontal="center" vertical="center"/>
      <protection hidden="1"/>
    </xf>
    <xf numFmtId="0" fontId="0" fillId="0" borderId="183" xfId="0" applyBorder="1" applyAlignment="1" applyProtection="1">
      <alignment horizontal="center" vertical="center"/>
      <protection hidden="1"/>
    </xf>
    <xf numFmtId="0" fontId="0" fillId="0" borderId="105" xfId="0" applyBorder="1" applyProtection="1">
      <protection hidden="1"/>
    </xf>
    <xf numFmtId="0" fontId="0" fillId="0" borderId="163" xfId="0" applyBorder="1" applyProtection="1">
      <protection hidden="1"/>
    </xf>
    <xf numFmtId="0" fontId="0" fillId="0" borderId="184" xfId="0" applyBorder="1" applyProtection="1">
      <protection hidden="1"/>
    </xf>
    <xf numFmtId="0" fontId="0" fillId="0" borderId="185" xfId="0" applyBorder="1" applyProtection="1">
      <protection hidden="1"/>
    </xf>
    <xf numFmtId="0" fontId="0" fillId="0" borderId="186" xfId="0" applyBorder="1" applyAlignment="1" applyProtection="1">
      <alignment horizontal="center" vertical="center"/>
      <protection hidden="1"/>
    </xf>
    <xf numFmtId="0" fontId="0" fillId="0" borderId="187" xfId="0" applyBorder="1" applyAlignment="1" applyProtection="1">
      <alignment horizontal="center" vertical="center"/>
      <protection hidden="1"/>
    </xf>
    <xf numFmtId="0" fontId="0" fillId="0" borderId="188" xfId="0" applyBorder="1" applyProtection="1">
      <protection hidden="1"/>
    </xf>
    <xf numFmtId="0" fontId="0" fillId="0" borderId="189" xfId="0" applyBorder="1" applyProtection="1">
      <protection hidden="1"/>
    </xf>
    <xf numFmtId="0" fontId="6" fillId="0" borderId="149" xfId="0" applyFont="1" applyBorder="1" applyAlignment="1" applyProtection="1">
      <alignment horizontal="left" vertical="center"/>
      <protection locked="0"/>
    </xf>
    <xf numFmtId="49" fontId="22" fillId="5" borderId="197" xfId="2" applyNumberFormat="1" applyFont="1" applyFill="1" applyBorder="1" applyAlignment="1" applyProtection="1">
      <alignment horizontal="left" vertical="center"/>
      <protection locked="0"/>
    </xf>
    <xf numFmtId="0" fontId="22" fillId="5" borderId="196" xfId="2" applyFont="1" applyFill="1" applyBorder="1" applyAlignment="1" applyProtection="1">
      <alignment horizontal="left" vertical="center"/>
      <protection locked="0"/>
    </xf>
    <xf numFmtId="49" fontId="22" fillId="5" borderId="196" xfId="2" applyNumberFormat="1" applyFont="1" applyFill="1" applyBorder="1" applyAlignment="1" applyProtection="1">
      <alignment horizontal="left" vertical="center"/>
      <protection locked="0"/>
    </xf>
    <xf numFmtId="164" fontId="22" fillId="5" borderId="195" xfId="2" applyNumberFormat="1" applyFont="1" applyFill="1" applyBorder="1" applyAlignment="1" applyProtection="1">
      <alignment horizontal="center" vertical="center"/>
      <protection locked="0"/>
    </xf>
    <xf numFmtId="49" fontId="22" fillId="5" borderId="199" xfId="2" applyNumberFormat="1" applyFont="1" applyFill="1" applyBorder="1" applyAlignment="1" applyProtection="1">
      <alignment horizontal="center" vertical="center"/>
      <protection locked="0"/>
    </xf>
    <xf numFmtId="49" fontId="22" fillId="5" borderId="200" xfId="2" applyNumberFormat="1" applyFont="1" applyFill="1" applyBorder="1" applyProtection="1">
      <protection locked="0"/>
    </xf>
    <xf numFmtId="49" fontId="22" fillId="5" borderId="201" xfId="2" applyNumberFormat="1" applyFont="1" applyFill="1" applyBorder="1" applyAlignment="1" applyProtection="1">
      <alignment horizontal="center" vertical="center"/>
      <protection locked="0"/>
    </xf>
    <xf numFmtId="1" fontId="22" fillId="5" borderId="100" xfId="2" applyNumberFormat="1" applyFont="1" applyFill="1" applyBorder="1" applyAlignment="1" applyProtection="1">
      <alignment horizontal="center" vertical="center"/>
      <protection locked="0"/>
    </xf>
    <xf numFmtId="49" fontId="22" fillId="5" borderId="198" xfId="2" applyNumberFormat="1" applyFont="1" applyFill="1" applyBorder="1" applyAlignment="1" applyProtection="1">
      <alignment horizontal="left" vertical="center"/>
      <protection locked="0"/>
    </xf>
    <xf numFmtId="0" fontId="22" fillId="5" borderId="195" xfId="2" applyFont="1" applyFill="1" applyBorder="1" applyAlignment="1" applyProtection="1">
      <alignment horizontal="left" vertical="center"/>
      <protection locked="0"/>
    </xf>
    <xf numFmtId="49" fontId="22" fillId="5" borderId="195" xfId="2" applyNumberFormat="1" applyFont="1" applyFill="1" applyBorder="1" applyAlignment="1" applyProtection="1">
      <alignment horizontal="left" vertical="center"/>
      <protection locked="0"/>
    </xf>
    <xf numFmtId="1" fontId="22" fillId="5" borderId="202" xfId="2" applyNumberFormat="1" applyFont="1" applyFill="1" applyBorder="1" applyAlignment="1" applyProtection="1">
      <alignment horizontal="center" vertical="center"/>
      <protection locked="0"/>
    </xf>
    <xf numFmtId="49" fontId="22" fillId="5" borderId="203" xfId="2" applyNumberFormat="1" applyFont="1" applyFill="1" applyBorder="1" applyAlignment="1" applyProtection="1">
      <alignment horizontal="center" vertical="center"/>
      <protection locked="0"/>
    </xf>
    <xf numFmtId="49" fontId="22" fillId="5" borderId="204" xfId="2" applyNumberFormat="1" applyFont="1" applyFill="1" applyBorder="1" applyProtection="1">
      <protection locked="0"/>
    </xf>
    <xf numFmtId="49" fontId="22" fillId="5" borderId="205" xfId="2" applyNumberFormat="1" applyFont="1" applyFill="1" applyBorder="1" applyAlignment="1" applyProtection="1">
      <alignment horizontal="center" vertical="center"/>
      <protection locked="0"/>
    </xf>
    <xf numFmtId="49" fontId="22" fillId="5" borderId="204" xfId="2" applyNumberFormat="1" applyFont="1" applyFill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209" xfId="0" applyBorder="1" applyAlignment="1" applyProtection="1">
      <alignment horizontal="center" vertical="center"/>
      <protection locked="0"/>
    </xf>
    <xf numFmtId="0" fontId="0" fillId="0" borderId="191" xfId="0" applyBorder="1" applyAlignment="1" applyProtection="1">
      <alignment horizontal="center" vertical="center"/>
      <protection locked="0"/>
    </xf>
    <xf numFmtId="0" fontId="0" fillId="0" borderId="211" xfId="0" applyBorder="1" applyAlignment="1" applyProtection="1">
      <alignment horizontal="center" vertical="center"/>
      <protection locked="0"/>
    </xf>
    <xf numFmtId="0" fontId="0" fillId="2" borderId="215" xfId="0" applyFill="1" applyBorder="1" applyAlignment="1" applyProtection="1">
      <alignment horizontal="center" vertical="center"/>
      <protection hidden="1"/>
    </xf>
    <xf numFmtId="0" fontId="0" fillId="2" borderId="216" xfId="0" applyFill="1" applyBorder="1" applyAlignment="1" applyProtection="1">
      <alignment horizontal="center" vertical="center"/>
      <protection hidden="1"/>
    </xf>
    <xf numFmtId="0" fontId="0" fillId="2" borderId="210" xfId="0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164" fontId="22" fillId="5" borderId="219" xfId="2" applyNumberFormat="1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hidden="1"/>
    </xf>
    <xf numFmtId="0" fontId="7" fillId="3" borderId="35" xfId="0" applyFont="1" applyFill="1" applyBorder="1" applyAlignment="1" applyProtection="1">
      <alignment horizontal="center" vertical="center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7" fillId="3" borderId="33" xfId="0" applyFont="1" applyFill="1" applyBorder="1" applyAlignment="1" applyProtection="1">
      <alignment horizontal="center" vertical="center"/>
      <protection hidden="1"/>
    </xf>
    <xf numFmtId="0" fontId="0" fillId="0" borderId="83" xfId="0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83" xfId="0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82" xfId="0" applyBorder="1" applyAlignment="1" applyProtection="1">
      <alignment horizontal="right" vertical="center"/>
      <protection hidden="1"/>
    </xf>
    <xf numFmtId="0" fontId="0" fillId="0" borderId="63" xfId="0" applyBorder="1" applyAlignment="1" applyProtection="1">
      <alignment horizontal="right" vertical="center"/>
      <protection hidden="1"/>
    </xf>
    <xf numFmtId="0" fontId="5" fillId="0" borderId="191" xfId="1" applyFill="1" applyBorder="1" applyAlignment="1" applyProtection="1">
      <alignment horizontal="center"/>
      <protection locked="0"/>
    </xf>
    <xf numFmtId="0" fontId="5" fillId="0" borderId="192" xfId="1" applyFill="1" applyBorder="1" applyAlignment="1" applyProtection="1">
      <alignment horizontal="center"/>
      <protection locked="0"/>
    </xf>
    <xf numFmtId="0" fontId="0" fillId="0" borderId="190" xfId="0" applyBorder="1" applyAlignment="1" applyProtection="1">
      <alignment horizontal="left" vertical="center"/>
      <protection locked="0"/>
    </xf>
    <xf numFmtId="0" fontId="0" fillId="0" borderId="191" xfId="0" applyBorder="1" applyAlignment="1" applyProtection="1">
      <alignment horizontal="left" vertical="center"/>
      <protection locked="0"/>
    </xf>
    <xf numFmtId="0" fontId="0" fillId="0" borderId="214" xfId="0" applyBorder="1" applyAlignment="1" applyProtection="1">
      <alignment horizontal="left" vertical="center"/>
      <protection locked="0"/>
    </xf>
    <xf numFmtId="0" fontId="0" fillId="0" borderId="218" xfId="0" applyBorder="1" applyAlignment="1" applyProtection="1">
      <alignment horizontal="left" vertical="center"/>
      <protection locked="0"/>
    </xf>
    <xf numFmtId="0" fontId="0" fillId="0" borderId="213" xfId="0" applyBorder="1" applyAlignment="1" applyProtection="1">
      <alignment horizontal="left" vertical="center"/>
      <protection locked="0"/>
    </xf>
    <xf numFmtId="0" fontId="0" fillId="0" borderId="184" xfId="0" applyBorder="1" applyAlignment="1" applyProtection="1">
      <alignment horizontal="center"/>
      <protection locked="0"/>
    </xf>
    <xf numFmtId="0" fontId="0" fillId="0" borderId="185" xfId="0" applyBorder="1" applyAlignment="1" applyProtection="1">
      <alignment horizontal="center"/>
      <protection locked="0"/>
    </xf>
    <xf numFmtId="0" fontId="0" fillId="0" borderId="193" xfId="0" applyBorder="1" applyAlignment="1" applyProtection="1">
      <alignment horizontal="left" vertical="center"/>
      <protection locked="0"/>
    </xf>
    <xf numFmtId="0" fontId="0" fillId="0" borderId="18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0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06" xfId="0" applyBorder="1" applyAlignment="1" applyProtection="1">
      <alignment horizontal="left" vertical="center"/>
      <protection locked="0"/>
    </xf>
    <xf numFmtId="0" fontId="0" fillId="0" borderId="207" xfId="0" applyBorder="1" applyAlignment="1" applyProtection="1">
      <alignment horizontal="left" vertical="center"/>
      <protection locked="0"/>
    </xf>
    <xf numFmtId="0" fontId="0" fillId="0" borderId="208" xfId="0" applyBorder="1" applyAlignment="1" applyProtection="1">
      <alignment horizontal="left" vertical="center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33" xfId="0" applyFont="1" applyFill="1" applyBorder="1" applyAlignment="1" applyProtection="1">
      <alignment horizontal="center" vertical="center" wrapText="1"/>
      <protection hidden="1"/>
    </xf>
    <xf numFmtId="0" fontId="5" fillId="4" borderId="82" xfId="1" applyFill="1" applyBorder="1" applyAlignment="1" applyProtection="1">
      <alignment horizontal="center" vertical="center"/>
      <protection locked="0"/>
    </xf>
    <xf numFmtId="0" fontId="16" fillId="4" borderId="64" xfId="1" applyFont="1" applyFill="1" applyBorder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horizontal="center" vertical="center"/>
      <protection hidden="1"/>
    </xf>
    <xf numFmtId="0" fontId="0" fillId="4" borderId="60" xfId="0" applyFill="1" applyBorder="1" applyAlignment="1" applyProtection="1">
      <alignment horizontal="center" vertical="center"/>
      <protection hidden="1"/>
    </xf>
    <xf numFmtId="0" fontId="0" fillId="4" borderId="83" xfId="0" applyFill="1" applyBorder="1" applyAlignment="1" applyProtection="1">
      <alignment horizontal="center" vertical="center"/>
      <protection hidden="1"/>
    </xf>
    <xf numFmtId="0" fontId="0" fillId="4" borderId="84" xfId="0" applyFill="1" applyBorder="1" applyAlignment="1" applyProtection="1">
      <alignment horizontal="center" vertical="center"/>
      <protection hidden="1"/>
    </xf>
    <xf numFmtId="0" fontId="3" fillId="2" borderId="217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0" fillId="0" borderId="194" xfId="0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right" vertical="center"/>
      <protection hidden="1"/>
    </xf>
    <xf numFmtId="0" fontId="0" fillId="3" borderId="159" xfId="0" applyFill="1" applyBorder="1" applyAlignment="1" applyProtection="1">
      <alignment horizontal="center"/>
      <protection hidden="1"/>
    </xf>
    <xf numFmtId="0" fontId="0" fillId="3" borderId="160" xfId="0" applyFill="1" applyBorder="1" applyAlignment="1" applyProtection="1">
      <alignment horizontal="center"/>
      <protection hidden="1"/>
    </xf>
    <xf numFmtId="0" fontId="0" fillId="3" borderId="161" xfId="0" applyFill="1" applyBorder="1" applyAlignment="1" applyProtection="1">
      <alignment horizontal="center"/>
      <protection hidden="1"/>
    </xf>
    <xf numFmtId="0" fontId="0" fillId="3" borderId="46" xfId="0" applyFill="1" applyBorder="1" applyAlignment="1" applyProtection="1">
      <alignment horizontal="center"/>
      <protection hidden="1"/>
    </xf>
    <xf numFmtId="0" fontId="0" fillId="3" borderId="56" xfId="0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right" vertical="center"/>
      <protection hidden="1"/>
    </xf>
    <xf numFmtId="0" fontId="6" fillId="2" borderId="15" xfId="0" applyFont="1" applyFill="1" applyBorder="1" applyAlignment="1" applyProtection="1">
      <alignment horizontal="right" vertical="center"/>
      <protection hidden="1"/>
    </xf>
    <xf numFmtId="0" fontId="0" fillId="0" borderId="211" xfId="0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right" vertical="center"/>
      <protection hidden="1"/>
    </xf>
    <xf numFmtId="0" fontId="3" fillId="2" borderId="8" xfId="0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hidden="1"/>
    </xf>
    <xf numFmtId="0" fontId="3" fillId="2" borderId="2" xfId="0" applyFont="1" applyFill="1" applyBorder="1" applyAlignment="1" applyProtection="1">
      <alignment horizontal="right" vertical="center"/>
      <protection hidden="1"/>
    </xf>
    <xf numFmtId="0" fontId="6" fillId="2" borderId="212" xfId="0" applyFont="1" applyFill="1" applyBorder="1" applyAlignment="1" applyProtection="1">
      <alignment horizontal="right" vertical="center"/>
      <protection hidden="1"/>
    </xf>
    <xf numFmtId="0" fontId="6" fillId="2" borderId="59" xfId="0" applyFont="1" applyFill="1" applyBorder="1" applyAlignment="1" applyProtection="1">
      <alignment horizontal="right" vertical="center"/>
      <protection hidden="1"/>
    </xf>
    <xf numFmtId="0" fontId="3" fillId="2" borderId="14" xfId="0" applyFont="1" applyFill="1" applyBorder="1" applyAlignment="1" applyProtection="1">
      <alignment horizontal="right" vertical="center"/>
      <protection hidden="1"/>
    </xf>
    <xf numFmtId="0" fontId="3" fillId="2" borderId="15" xfId="0" applyFont="1" applyFill="1" applyBorder="1" applyAlignment="1" applyProtection="1">
      <alignment horizontal="right" vertical="center"/>
      <protection hidden="1"/>
    </xf>
    <xf numFmtId="0" fontId="3" fillId="2" borderId="17" xfId="0" applyFont="1" applyFill="1" applyBorder="1" applyAlignment="1" applyProtection="1">
      <alignment horizontal="right" vertical="center"/>
      <protection hidden="1"/>
    </xf>
    <xf numFmtId="0" fontId="3" fillId="2" borderId="18" xfId="0" applyFont="1" applyFill="1" applyBorder="1" applyAlignment="1" applyProtection="1">
      <alignment horizontal="right" vertical="center"/>
      <protection hidden="1"/>
    </xf>
    <xf numFmtId="0" fontId="0" fillId="7" borderId="82" xfId="0" applyFill="1" applyBorder="1" applyAlignment="1" applyProtection="1">
      <alignment horizontal="center" vertical="center"/>
      <protection hidden="1"/>
    </xf>
    <xf numFmtId="0" fontId="0" fillId="7" borderId="135" xfId="0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76" xfId="0" applyBorder="1" applyAlignment="1" applyProtection="1">
      <alignment horizontal="center"/>
      <protection hidden="1"/>
    </xf>
    <xf numFmtId="0" fontId="0" fillId="0" borderId="77" xfId="0" applyBorder="1" applyAlignment="1" applyProtection="1">
      <alignment horizontal="center"/>
      <protection hidden="1"/>
    </xf>
    <xf numFmtId="0" fontId="0" fillId="3" borderId="58" xfId="0" applyFill="1" applyBorder="1" applyAlignment="1" applyProtection="1">
      <alignment horizontal="center" vertical="center"/>
      <protection hidden="1"/>
    </xf>
    <xf numFmtId="0" fontId="0" fillId="3" borderId="60" xfId="0" applyFill="1" applyBorder="1" applyAlignment="1" applyProtection="1">
      <alignment horizontal="center" vertical="center"/>
      <protection hidden="1"/>
    </xf>
    <xf numFmtId="0" fontId="0" fillId="8" borderId="120" xfId="0" applyFill="1" applyBorder="1" applyAlignment="1" applyProtection="1">
      <alignment horizontal="center" vertical="center"/>
      <protection hidden="1"/>
    </xf>
    <xf numFmtId="0" fontId="0" fillId="8" borderId="121" xfId="0" applyFill="1" applyBorder="1" applyAlignment="1" applyProtection="1">
      <alignment horizontal="center" vertical="center"/>
      <protection hidden="1"/>
    </xf>
    <xf numFmtId="0" fontId="0" fillId="7" borderId="134" xfId="0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76" xfId="0" applyBorder="1" applyAlignment="1" applyProtection="1">
      <alignment horizontal="center" vertical="center"/>
      <protection hidden="1"/>
    </xf>
    <xf numFmtId="0" fontId="0" fillId="0" borderId="77" xfId="0" applyBorder="1" applyAlignment="1" applyProtection="1">
      <alignment horizontal="center" vertical="center"/>
      <protection hidden="1"/>
    </xf>
    <xf numFmtId="0" fontId="0" fillId="8" borderId="64" xfId="0" applyFill="1" applyBorder="1" applyAlignment="1" applyProtection="1">
      <alignment horizontal="center" vertical="center"/>
      <protection hidden="1"/>
    </xf>
    <xf numFmtId="0" fontId="0" fillId="0" borderId="71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3" borderId="159" xfId="0" applyFill="1" applyBorder="1" applyAlignment="1" applyProtection="1">
      <alignment horizontal="center" vertical="center"/>
      <protection hidden="1"/>
    </xf>
    <xf numFmtId="0" fontId="0" fillId="3" borderId="160" xfId="0" applyFill="1" applyBorder="1" applyAlignment="1" applyProtection="1">
      <alignment horizontal="center" vertical="center"/>
      <protection hidden="1"/>
    </xf>
    <xf numFmtId="0" fontId="0" fillId="3" borderId="47" xfId="0" applyFill="1" applyBorder="1" applyAlignment="1" applyProtection="1">
      <alignment horizontal="center" vertical="center"/>
      <protection hidden="1"/>
    </xf>
    <xf numFmtId="0" fontId="0" fillId="0" borderId="181" xfId="0" applyBorder="1" applyAlignment="1" applyProtection="1">
      <alignment horizontal="center"/>
      <protection hidden="1"/>
    </xf>
    <xf numFmtId="0" fontId="0" fillId="3" borderId="59" xfId="0" applyFill="1" applyBorder="1" applyAlignment="1" applyProtection="1">
      <alignment horizontal="center" vertical="center"/>
      <protection hidden="1"/>
    </xf>
    <xf numFmtId="0" fontId="0" fillId="3" borderId="46" xfId="0" applyFill="1" applyBorder="1" applyAlignment="1" applyProtection="1">
      <alignment horizontal="center" vertical="center"/>
      <protection hidden="1"/>
    </xf>
    <xf numFmtId="0" fontId="0" fillId="3" borderId="56" xfId="0" applyFill="1" applyBorder="1" applyAlignment="1" applyProtection="1">
      <alignment horizontal="center" vertical="center"/>
      <protection hidden="1"/>
    </xf>
    <xf numFmtId="0" fontId="0" fillId="3" borderId="143" xfId="0" applyFill="1" applyBorder="1" applyAlignment="1" applyProtection="1">
      <alignment horizontal="center" vertical="center"/>
      <protection hidden="1"/>
    </xf>
    <xf numFmtId="0" fontId="0" fillId="3" borderId="47" xfId="0" applyFill="1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0" borderId="52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164" fontId="0" fillId="0" borderId="46" xfId="0" applyNumberFormat="1" applyBorder="1" applyAlignment="1" applyProtection="1">
      <alignment horizontal="center"/>
      <protection hidden="1"/>
    </xf>
    <xf numFmtId="164" fontId="0" fillId="0" borderId="47" xfId="0" applyNumberFormat="1" applyBorder="1" applyAlignment="1" applyProtection="1">
      <alignment horizontal="center"/>
      <protection hidden="1"/>
    </xf>
    <xf numFmtId="0" fontId="0" fillId="3" borderId="63" xfId="0" applyFill="1" applyBorder="1" applyAlignment="1" applyProtection="1">
      <alignment horizontal="left"/>
      <protection hidden="1"/>
    </xf>
    <xf numFmtId="0" fontId="0" fillId="3" borderId="64" xfId="0" applyFill="1" applyBorder="1" applyAlignment="1" applyProtection="1">
      <alignment horizontal="left"/>
      <protection hidden="1"/>
    </xf>
    <xf numFmtId="0" fontId="0" fillId="0" borderId="170" xfId="0" applyBorder="1" applyAlignment="1" applyProtection="1">
      <alignment horizontal="left" vertical="center"/>
      <protection hidden="1"/>
    </xf>
    <xf numFmtId="0" fontId="0" fillId="0" borderId="163" xfId="0" applyBorder="1" applyAlignment="1" applyProtection="1">
      <alignment horizontal="left" vertical="center"/>
      <protection hidden="1"/>
    </xf>
    <xf numFmtId="0" fontId="0" fillId="0" borderId="162" xfId="0" applyBorder="1" applyAlignment="1" applyProtection="1">
      <alignment horizontal="left" vertical="center"/>
      <protection hidden="1"/>
    </xf>
    <xf numFmtId="0" fontId="0" fillId="0" borderId="174" xfId="0" applyBorder="1" applyAlignment="1" applyProtection="1">
      <alignment horizontal="left" vertical="center"/>
      <protection hidden="1"/>
    </xf>
    <xf numFmtId="0" fontId="0" fillId="0" borderId="110" xfId="0" applyBorder="1" applyAlignment="1" applyProtection="1">
      <alignment horizontal="left" vertical="center"/>
      <protection hidden="1"/>
    </xf>
    <xf numFmtId="0" fontId="0" fillId="0" borderId="112" xfId="0" applyBorder="1" applyAlignment="1" applyProtection="1">
      <alignment horizontal="left" vertical="center"/>
      <protection hidden="1"/>
    </xf>
    <xf numFmtId="0" fontId="0" fillId="3" borderId="172" xfId="0" applyFill="1" applyBorder="1" applyAlignment="1">
      <alignment horizontal="center" vertical="center"/>
    </xf>
    <xf numFmtId="0" fontId="0" fillId="3" borderId="173" xfId="0" applyFill="1" applyBorder="1" applyAlignment="1">
      <alignment horizontal="center" vertical="center"/>
    </xf>
    <xf numFmtId="0" fontId="0" fillId="0" borderId="171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82" xfId="0" applyBorder="1" applyAlignment="1" applyProtection="1">
      <alignment horizontal="left" vertical="center"/>
      <protection hidden="1"/>
    </xf>
    <xf numFmtId="0" fontId="0" fillId="0" borderId="64" xfId="0" applyBorder="1" applyAlignment="1" applyProtection="1">
      <alignment horizontal="left" vertical="center"/>
      <protection hidden="1"/>
    </xf>
    <xf numFmtId="0" fontId="0" fillId="0" borderId="83" xfId="0" applyBorder="1" applyAlignment="1" applyProtection="1">
      <alignment horizontal="left" vertical="center"/>
      <protection hidden="1"/>
    </xf>
    <xf numFmtId="0" fontId="0" fillId="0" borderId="84" xfId="0" applyBorder="1" applyAlignment="1" applyProtection="1">
      <alignment horizontal="left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60" xfId="0" applyBorder="1" applyAlignment="1" applyProtection="1">
      <alignment horizontal="left" vertical="center"/>
      <protection hidden="1"/>
    </xf>
    <xf numFmtId="0" fontId="0" fillId="3" borderId="83" xfId="0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158" xfId="0" applyBorder="1" applyAlignment="1" applyProtection="1">
      <alignment horizontal="left" vertical="center"/>
      <protection hidden="1"/>
    </xf>
  </cellXfs>
  <cellStyles count="3">
    <cellStyle name="Hyperlink" xfId="1" builtinId="8"/>
    <cellStyle name="Standaard" xfId="0" builtinId="0"/>
    <cellStyle name="Standaard 2" xfId="2" xr:uid="{00000000-0005-0000-0000-000002000000}"/>
  </cellStyles>
  <dxfs count="18">
    <dxf>
      <font>
        <color theme="0"/>
      </font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FF99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38099</xdr:colOff>
      <xdr:row>12</xdr:row>
      <xdr:rowOff>19050</xdr:rowOff>
    </xdr:from>
    <xdr:to>
      <xdr:col>12</xdr:col>
      <xdr:colOff>65217</xdr:colOff>
      <xdr:row>14</xdr:row>
      <xdr:rowOff>177800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9899" y="2364317"/>
          <a:ext cx="262638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taekyonberghem.nl" TargetMode="External"/><Relationship Id="rId2" Type="http://schemas.openxmlformats.org/officeDocument/2006/relationships/hyperlink" Target="mailto:info@taekyonberghem.nl" TargetMode="External"/><Relationship Id="rId1" Type="http://schemas.openxmlformats.org/officeDocument/2006/relationships/hyperlink" Target="http://www.taekyonberghem.nl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taekyonberghem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76"/>
  <sheetViews>
    <sheetView showGridLines="0" showRowColHeaders="0" tabSelected="1" zoomScale="90" zoomScaleNormal="90" workbookViewId="0">
      <selection activeCell="E31" sqref="E31"/>
    </sheetView>
  </sheetViews>
  <sheetFormatPr baseColWidth="10" defaultColWidth="0" defaultRowHeight="15" zeroHeight="1" x14ac:dyDescent="0.2"/>
  <cols>
    <col min="1" max="1" width="3.6640625" style="10" customWidth="1"/>
    <col min="2" max="2" width="3.5" style="10" customWidth="1"/>
    <col min="3" max="3" width="20.6640625" style="10" customWidth="1"/>
    <col min="4" max="4" width="9.5" style="10" bestFit="1" customWidth="1"/>
    <col min="5" max="5" width="30.6640625" style="10" customWidth="1"/>
    <col min="6" max="6" width="20.6640625" style="10" customWidth="1"/>
    <col min="7" max="8" width="9.1640625" style="10" customWidth="1"/>
    <col min="9" max="11" width="10.6640625" style="10" customWidth="1"/>
    <col min="12" max="12" width="16.6640625" style="10" customWidth="1"/>
    <col min="13" max="13" width="30.6640625" style="10" customWidth="1"/>
    <col min="14" max="14" width="35.6640625" style="10" customWidth="1"/>
    <col min="15" max="15" width="9" style="10" customWidth="1"/>
    <col min="16" max="16" width="7.6640625" style="10" hidden="1" customWidth="1"/>
    <col min="17" max="17" width="7.5" style="10" hidden="1" customWidth="1"/>
    <col min="18" max="21" width="9.1640625" style="10" hidden="1" customWidth="1"/>
    <col min="22" max="22" width="14.6640625" style="10" hidden="1" customWidth="1"/>
    <col min="23" max="23" width="9.1640625" style="10" hidden="1" customWidth="1"/>
    <col min="24" max="24" width="31.83203125" style="10" hidden="1" customWidth="1"/>
    <col min="25" max="27" width="9.1640625" style="14" hidden="1" customWidth="1"/>
    <col min="28" max="28" width="37.83203125" style="219" hidden="1" customWidth="1"/>
    <col min="29" max="29" width="8.33203125" style="14" hidden="1" customWidth="1"/>
    <col min="30" max="30" width="9.1640625" style="14" hidden="1" customWidth="1"/>
    <col min="31" max="16384" width="9.1640625" style="10" hidden="1"/>
  </cols>
  <sheetData>
    <row r="1" spans="1:30" customFormat="1" ht="23" x14ac:dyDescent="0.2">
      <c r="A1" s="10"/>
      <c r="B1" s="64" t="str">
        <f>Selecties!B14</f>
        <v>Inschrijf formulier "Open Taekyon Toernooi" op Zondag 24-nov-2024</v>
      </c>
      <c r="C1" s="10"/>
      <c r="D1" s="10"/>
      <c r="E1" s="10"/>
      <c r="F1" s="10"/>
      <c r="G1" s="132"/>
      <c r="H1" s="132"/>
      <c r="I1" s="132"/>
      <c r="J1" s="132"/>
      <c r="K1" s="132"/>
      <c r="L1" s="10"/>
      <c r="M1" s="10"/>
      <c r="N1" s="10"/>
      <c r="O1" s="10"/>
      <c r="Y1" s="6"/>
      <c r="Z1" s="6"/>
      <c r="AA1" s="6"/>
      <c r="AB1" s="218"/>
      <c r="AC1" s="6"/>
      <c r="AD1" s="6"/>
    </row>
    <row r="2" spans="1:30" customForma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Y2" s="6"/>
      <c r="Z2" s="6"/>
      <c r="AA2" s="6"/>
      <c r="AB2" s="218"/>
      <c r="AC2" s="6"/>
      <c r="AD2" s="6"/>
    </row>
    <row r="3" spans="1:30" customForma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Y3" s="6"/>
      <c r="Z3" s="6"/>
      <c r="AA3" s="6"/>
      <c r="AB3" s="218"/>
      <c r="AC3" s="6"/>
      <c r="AD3" s="6"/>
    </row>
    <row r="4" spans="1:30" customFormat="1" x14ac:dyDescent="0.2">
      <c r="A4" s="10"/>
      <c r="B4" s="10"/>
      <c r="C4" s="10"/>
      <c r="D4" s="10"/>
      <c r="E4" s="10"/>
      <c r="F4" s="339" t="str">
        <f>Selecties!B21</f>
        <v>Onderwerp</v>
      </c>
      <c r="G4" s="340"/>
      <c r="H4" s="65" t="str">
        <f>Selecties!B22</f>
        <v>Aantal</v>
      </c>
      <c r="I4" s="66" t="str">
        <f>Selecties!B23</f>
        <v>Kosten</v>
      </c>
      <c r="J4" s="336" t="str">
        <f>IF(Selecties_boetes_on=selectie_waar,Selecties!B21,"")</f>
        <v>Onderwerp</v>
      </c>
      <c r="K4" s="337"/>
      <c r="L4" s="338"/>
      <c r="M4" s="67" t="str">
        <f>IF(Selecties_boetes_on=selectie_waar,Selecties!B24,"")</f>
        <v>Boetes</v>
      </c>
      <c r="N4" s="10"/>
      <c r="O4" s="10"/>
      <c r="Y4" s="6"/>
      <c r="Z4" s="6"/>
      <c r="AA4" s="6"/>
      <c r="AB4" s="218"/>
      <c r="AC4" s="6"/>
      <c r="AD4" s="6"/>
    </row>
    <row r="5" spans="1:30" customFormat="1" x14ac:dyDescent="0.2">
      <c r="A5" s="10"/>
      <c r="B5" s="10"/>
      <c r="C5" s="325" t="str">
        <f>Selecties!B17</f>
        <v>Mail ingevulde formulier als</v>
      </c>
      <c r="D5" s="326"/>
      <c r="E5" s="10"/>
      <c r="F5" s="297" t="str">
        <f>Selecties!B25</f>
        <v xml:space="preserve">Deelnemers alleen Tuls : </v>
      </c>
      <c r="G5" s="298"/>
      <c r="H5" s="68">
        <f>COUNTIFS(I25:I74,Selecties_ja,J25:J74,Selecties_nee,R25:R74,TRUE)</f>
        <v>0</v>
      </c>
      <c r="I5" s="69">
        <f>IF(Selecties_kosten_on=selectie_waar,Inschrijf_geld_single_item*H5,"")</f>
        <v>0</v>
      </c>
      <c r="J5" s="10"/>
      <c r="K5" s="10"/>
      <c r="L5" s="70" t="str">
        <f>IF(Selecties_boetes_on=selectie_waar,Selecties!B30,"")</f>
        <v xml:space="preserve">Te weinig scheidsrechters : </v>
      </c>
      <c r="M5" s="71">
        <f>IF(Selecties_boetes_on=selectie_waar,tk_scheids_boete,"")</f>
        <v>0</v>
      </c>
      <c r="N5" s="10"/>
      <c r="O5" s="10"/>
      <c r="Y5" s="6"/>
      <c r="Z5" s="6"/>
      <c r="AA5" s="6"/>
      <c r="AB5" s="218"/>
      <c r="AC5" s="6"/>
      <c r="AD5" s="6"/>
    </row>
    <row r="6" spans="1:30" customFormat="1" x14ac:dyDescent="0.2">
      <c r="A6" s="10"/>
      <c r="B6" s="10"/>
      <c r="C6" s="327" t="str">
        <f>Selecties!B18</f>
        <v>een bijvoeging naar :</v>
      </c>
      <c r="D6" s="328"/>
      <c r="E6" s="10"/>
      <c r="F6" s="297" t="str">
        <f>Selecties!B26</f>
        <v xml:space="preserve">Deelnemers alleen Sparren : </v>
      </c>
      <c r="G6" s="298"/>
      <c r="H6" s="72">
        <f>COUNTIFS(I25:I74,Selecties_nee,J25:J74,Selecties_ja,R25:R74,TRUE)</f>
        <v>0</v>
      </c>
      <c r="I6" s="69">
        <f>IF(Selecties_kosten_on=selectie_waar,Inschrijf_geld_single_item*H6,"")</f>
        <v>0</v>
      </c>
      <c r="J6" s="10"/>
      <c r="K6" s="10"/>
      <c r="L6" s="136"/>
      <c r="M6" s="73"/>
      <c r="N6" s="10"/>
      <c r="O6" s="10"/>
      <c r="Y6" s="6"/>
      <c r="Z6" s="6"/>
      <c r="AA6" s="6"/>
      <c r="AB6" s="218"/>
      <c r="AC6" s="6"/>
      <c r="AD6" s="6"/>
    </row>
    <row r="7" spans="1:30" customFormat="1" x14ac:dyDescent="0.2">
      <c r="A7" s="10"/>
      <c r="B7" s="10"/>
      <c r="C7" s="323" t="s">
        <v>324</v>
      </c>
      <c r="D7" s="324"/>
      <c r="E7" s="10"/>
      <c r="F7" s="297" t="str">
        <f>Selecties!B27</f>
        <v xml:space="preserve">Deelnemers Tuls &amp; Sparren : </v>
      </c>
      <c r="G7" s="298"/>
      <c r="H7" s="68">
        <f>COUNTIFS(I25:I74,Selecties_ja,J25:J74,Selecties_ja,R25:R74,TRUE)</f>
        <v>0</v>
      </c>
      <c r="I7" s="69">
        <f>IF(Selecties_kosten_on=selectie_waar,Inschrijf_geld_dubbel_item*H7,"")</f>
        <v>0</v>
      </c>
      <c r="J7" s="10"/>
      <c r="K7" s="10"/>
      <c r="L7" s="10"/>
      <c r="M7" s="73"/>
      <c r="N7" s="10"/>
      <c r="O7" s="10"/>
      <c r="Y7" s="6"/>
      <c r="Z7" s="6"/>
      <c r="AA7" s="6"/>
      <c r="AB7" s="218"/>
      <c r="AC7" s="6"/>
      <c r="AD7" s="6"/>
    </row>
    <row r="8" spans="1:30" customFormat="1" x14ac:dyDescent="0.2">
      <c r="A8" s="10"/>
      <c r="B8" s="10"/>
      <c r="C8" s="122" t="str">
        <f>Selecties!B19</f>
        <v>!! Eerst bestand opslaan. Dan mailen</v>
      </c>
      <c r="D8" s="120"/>
      <c r="E8" s="10"/>
      <c r="F8" s="299"/>
      <c r="G8" s="300"/>
      <c r="H8" s="74" t="s">
        <v>109</v>
      </c>
      <c r="I8" s="75" t="str">
        <f>IF(Selecties_kosten_on=selectie_waar,"+  -----------","")</f>
        <v>+  -----------</v>
      </c>
      <c r="J8" s="10"/>
      <c r="K8" s="10"/>
      <c r="L8" s="10"/>
      <c r="M8" s="73" t="str">
        <f>IF(Selecties_boetes_on=selectie_waar,"--------------- +","")</f>
        <v>--------------- +</v>
      </c>
      <c r="N8" s="10"/>
      <c r="O8" s="10"/>
      <c r="Y8" s="6"/>
      <c r="Z8" s="6"/>
      <c r="AA8" s="6"/>
      <c r="AB8" s="218"/>
      <c r="AC8" s="6"/>
      <c r="AD8" s="6"/>
    </row>
    <row r="9" spans="1:30" customFormat="1" x14ac:dyDescent="0.2">
      <c r="A9" s="10"/>
      <c r="B9" s="10"/>
      <c r="C9" s="121"/>
      <c r="D9" s="121"/>
      <c r="E9" s="10"/>
      <c r="F9" s="297" t="str">
        <f>Selecties!B28</f>
        <v xml:space="preserve">Deelnemers Totaal : </v>
      </c>
      <c r="G9" s="298"/>
      <c r="H9" s="68">
        <f>SUM(H5:H7)</f>
        <v>0</v>
      </c>
      <c r="I9" s="69">
        <f>IF(Selecties_kosten_on=selectie_waar,SUM(I5:I7),"")</f>
        <v>0</v>
      </c>
      <c r="J9" s="10"/>
      <c r="K9" s="10"/>
      <c r="L9" s="70" t="str">
        <f>IF(Selecties_boetes_on=selectie_waar,Selecties!B31,"")</f>
        <v xml:space="preserve">Boetes totaal : </v>
      </c>
      <c r="M9" s="76">
        <f>IF(Selecties_boetes_on=selectie_waar,SUM(M5:M7),"")</f>
        <v>0</v>
      </c>
      <c r="N9" s="10"/>
      <c r="O9" s="10"/>
      <c r="Y9" s="6"/>
      <c r="Z9" s="6"/>
      <c r="AA9" s="6"/>
      <c r="AB9" s="218"/>
      <c r="AC9" s="6"/>
      <c r="AD9" s="6"/>
    </row>
    <row r="10" spans="1:30" customFormat="1" x14ac:dyDescent="0.2">
      <c r="A10" s="10"/>
      <c r="B10" s="10"/>
      <c r="C10" s="10"/>
      <c r="D10" s="10"/>
      <c r="E10" s="10"/>
      <c r="F10" s="299"/>
      <c r="G10" s="300"/>
      <c r="H10" s="77"/>
      <c r="I10" s="78"/>
      <c r="J10" s="10"/>
      <c r="K10" s="10"/>
      <c r="L10" s="10"/>
      <c r="M10" s="79"/>
      <c r="N10" s="10"/>
      <c r="O10" s="10"/>
      <c r="Y10" s="6"/>
      <c r="Z10" s="6"/>
      <c r="AA10" s="6"/>
      <c r="AB10" s="218"/>
      <c r="AC10" s="6"/>
      <c r="AD10" s="6"/>
    </row>
    <row r="11" spans="1:30" customFormat="1" x14ac:dyDescent="0.2">
      <c r="A11" s="10"/>
      <c r="B11" s="10"/>
      <c r="C11" s="10"/>
      <c r="D11" s="10"/>
      <c r="E11" s="10"/>
      <c r="F11" s="301" t="str">
        <f>IF(OR(Selecties_kosten_on="Ja", Selecties_boetes_on="Ja"),Selecties!B29,"")</f>
        <v xml:space="preserve">Totaal kosten : </v>
      </c>
      <c r="G11" s="302"/>
      <c r="H11" s="80"/>
      <c r="I11" s="81">
        <f>IF(Selecties_kosten_on=selectie_waar,  IF(Selecties_boetes_on=selectie_waar, I9+M9, I9),  IF(Selecties_boetes_on=selectie_waar, M9,""))</f>
        <v>0</v>
      </c>
      <c r="J11" s="82"/>
      <c r="K11" s="82"/>
      <c r="L11" s="82"/>
      <c r="M11" s="83"/>
      <c r="N11" s="10"/>
      <c r="O11" s="10"/>
      <c r="Y11" s="6"/>
      <c r="Z11" s="6"/>
      <c r="AA11" s="6"/>
      <c r="AB11" s="218"/>
      <c r="AC11" s="6"/>
      <c r="AD11" s="6"/>
    </row>
    <row r="12" spans="1:30" customFormat="1" ht="16" thickBo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S12" s="7" t="s">
        <v>93</v>
      </c>
      <c r="T12" s="6" t="s">
        <v>93</v>
      </c>
      <c r="U12" s="6" t="s">
        <v>93</v>
      </c>
      <c r="V12" s="6" t="s">
        <v>94</v>
      </c>
      <c r="X12" s="6" t="s">
        <v>93</v>
      </c>
      <c r="Y12" s="6" t="s">
        <v>93</v>
      </c>
      <c r="Z12" s="6" t="s">
        <v>95</v>
      </c>
      <c r="AA12" s="14"/>
      <c r="AB12" s="219"/>
      <c r="AC12" s="14"/>
      <c r="AD12" s="6"/>
    </row>
    <row r="13" spans="1:30" customFormat="1" ht="20" customHeight="1" x14ac:dyDescent="0.2">
      <c r="A13" s="10"/>
      <c r="B13" s="346" t="str">
        <f>Selecties!B33</f>
        <v xml:space="preserve">School / Vereniging : </v>
      </c>
      <c r="C13" s="347"/>
      <c r="D13" s="316" t="s">
        <v>334</v>
      </c>
      <c r="E13" s="317"/>
      <c r="F13" s="254" t="str">
        <f>Selecties!B42</f>
        <v xml:space="preserve">Contact : </v>
      </c>
      <c r="G13" s="314" t="s">
        <v>333</v>
      </c>
      <c r="H13" s="314"/>
      <c r="I13" s="315"/>
      <c r="J13" s="84"/>
      <c r="K13" s="84"/>
      <c r="L13" s="84"/>
      <c r="M13" s="85"/>
      <c r="N13" s="10"/>
      <c r="O13" s="10"/>
      <c r="S13" s="7" t="s">
        <v>96</v>
      </c>
      <c r="T13" s="6" t="s">
        <v>65</v>
      </c>
      <c r="U13" t="s">
        <v>97</v>
      </c>
      <c r="V13" s="6" t="s">
        <v>98</v>
      </c>
      <c r="X13" s="6" t="s">
        <v>99</v>
      </c>
      <c r="Y13" t="s">
        <v>100</v>
      </c>
      <c r="Z13" s="6" t="s">
        <v>98</v>
      </c>
      <c r="AA13" s="14"/>
      <c r="AB13" s="219"/>
      <c r="AC13" s="14"/>
      <c r="AD13" s="6"/>
    </row>
    <row r="14" spans="1:30" customFormat="1" ht="20" customHeight="1" x14ac:dyDescent="0.2">
      <c r="A14" s="10"/>
      <c r="B14" s="344" t="str">
        <f>Selecties!B34</f>
        <v xml:space="preserve">Adres                      : </v>
      </c>
      <c r="C14" s="345"/>
      <c r="D14" s="312" t="s">
        <v>335</v>
      </c>
      <c r="E14" s="313"/>
      <c r="F14" s="255" t="str">
        <f>Selecties!B43</f>
        <v xml:space="preserve">Telefoon : </v>
      </c>
      <c r="G14" s="310">
        <v>621500360</v>
      </c>
      <c r="H14" s="310"/>
      <c r="I14" s="311"/>
      <c r="J14" s="10"/>
      <c r="K14" s="10"/>
      <c r="L14" s="10"/>
      <c r="M14" s="86"/>
      <c r="N14" s="10"/>
      <c r="O14" s="10"/>
      <c r="S14" s="6">
        <f>COUNTIFS(R25:R74,TRUE)</f>
        <v>0</v>
      </c>
      <c r="T14" s="6">
        <f>COUNTA(G17:G19)</f>
        <v>0</v>
      </c>
      <c r="U14" s="8">
        <f>IF(S14&gt;Selecties!B126, Selecties!C126,    IF(S14&gt;Selecties!B125,Selecties!C125,   IF(S14&gt;Selecties!B124,Selecties!C124,0) ))</f>
        <v>0</v>
      </c>
      <c r="V14" s="9">
        <f>IF((U14-T14)&gt;0,Selecties!G139*(U14-T14),0)</f>
        <v>0</v>
      </c>
      <c r="X14" s="6">
        <f>COUNTA(D17:D21)</f>
        <v>0</v>
      </c>
      <c r="Y14" s="6">
        <f>IF(S14&gt;Selecties!H127,Selecties!I127,   IF(S14&gt;Selecties!H126,Selecties!I126,    IF(S14&gt;Selecties!H125, Selecties!I125,   IF(S14&gt;Selecties!H124,Selecties!I124,0) )))</f>
        <v>0</v>
      </c>
      <c r="Z14" s="9">
        <f>IF((Y14-X14)&gt;0,Selecties!K139*(Y14-X14),0)</f>
        <v>0</v>
      </c>
      <c r="AA14" s="14"/>
      <c r="AB14" s="219"/>
      <c r="AC14" s="14"/>
      <c r="AD14" s="6"/>
    </row>
    <row r="15" spans="1:30" customFormat="1" ht="20" customHeight="1" thickBot="1" x14ac:dyDescent="0.25">
      <c r="A15" s="10"/>
      <c r="B15" s="350" t="str">
        <f>Selecties!B35</f>
        <v xml:space="preserve">Postcode en Plaats : </v>
      </c>
      <c r="C15" s="351"/>
      <c r="D15" s="305" t="s">
        <v>336</v>
      </c>
      <c r="E15" s="306"/>
      <c r="F15" s="256" t="str">
        <f>Selecties!B44</f>
        <v xml:space="preserve">E-mail : </v>
      </c>
      <c r="G15" s="303" t="s">
        <v>332</v>
      </c>
      <c r="H15" s="303"/>
      <c r="I15" s="304"/>
      <c r="J15" s="10"/>
      <c r="K15" s="10"/>
      <c r="L15" s="10"/>
      <c r="M15" s="87"/>
      <c r="N15" s="10"/>
      <c r="O15" s="10"/>
      <c r="S15" s="6"/>
      <c r="Y15" s="6"/>
      <c r="Z15" s="6"/>
      <c r="AA15" s="6"/>
      <c r="AB15" s="218"/>
      <c r="AC15" s="6"/>
      <c r="AD15" s="6"/>
    </row>
    <row r="16" spans="1:30" customFormat="1" ht="20" customHeight="1" x14ac:dyDescent="0.2">
      <c r="A16" s="10"/>
      <c r="B16" s="352" t="str">
        <f>Selecties!B36</f>
        <v xml:space="preserve">Naam Coach(es) : </v>
      </c>
      <c r="C16" s="353"/>
      <c r="D16" s="88"/>
      <c r="E16" s="88"/>
      <c r="F16" s="254" t="str">
        <f>Selecties!B45</f>
        <v xml:space="preserve">Scheidsrechters : </v>
      </c>
      <c r="G16" s="329" t="str">
        <f>Selecties!B46</f>
        <v>Naam Scheidsrechters</v>
      </c>
      <c r="H16" s="330"/>
      <c r="I16" s="331"/>
      <c r="J16" s="89" t="str">
        <f>Selecties!B47</f>
        <v>Gradatie</v>
      </c>
      <c r="K16" s="89" t="str">
        <f>Selecties!B48</f>
        <v>Licentie</v>
      </c>
      <c r="L16" s="89" t="str">
        <f>Selecties!B49</f>
        <v>Leeftijd</v>
      </c>
      <c r="M16" s="90" t="str">
        <f>Selecties!B50</f>
        <v>Voorkeur</v>
      </c>
      <c r="N16" s="10"/>
      <c r="O16" s="10"/>
      <c r="Y16" s="6"/>
      <c r="Z16" s="6"/>
      <c r="AA16" s="6"/>
      <c r="AB16" s="218"/>
      <c r="AC16" s="6"/>
      <c r="AD16" s="6"/>
    </row>
    <row r="17" spans="1:30" customFormat="1" ht="20" customHeight="1" x14ac:dyDescent="0.2">
      <c r="A17" s="10"/>
      <c r="B17" s="348" t="str">
        <f>IF(tk_nr_deelnemers&gt;Selecties!H124,Selecties!G37,Selecties!B37)</f>
        <v>Niet OK. Geen deelnemers.</v>
      </c>
      <c r="C17" s="349"/>
      <c r="D17" s="309"/>
      <c r="E17" s="307"/>
      <c r="F17" s="288" t="str">
        <f>IF(tk_nr_deelnemers&gt;Selecties!B124,Selecties!B51,Selecties!D51)</f>
        <v xml:space="preserve">Toegestaan : </v>
      </c>
      <c r="G17" s="307"/>
      <c r="H17" s="307"/>
      <c r="I17" s="308"/>
      <c r="J17" s="1"/>
      <c r="K17" s="1"/>
      <c r="L17" s="1"/>
      <c r="M17" s="2"/>
      <c r="N17" s="10"/>
      <c r="O17" s="10"/>
      <c r="Y17" s="6"/>
      <c r="Z17" s="6"/>
      <c r="AA17" s="6"/>
      <c r="AB17" s="218"/>
      <c r="AC17" s="6"/>
      <c r="AD17" s="6"/>
    </row>
    <row r="18" spans="1:30" customFormat="1" ht="20" customHeight="1" x14ac:dyDescent="0.2">
      <c r="A18" s="10"/>
      <c r="B18" s="332" t="str">
        <f>IF(tk_nr_deelnemers&gt;Selecties!H125,Selecties!G38,Selecties!B38)</f>
        <v>Niet OK. Deelnemers &lt; 5</v>
      </c>
      <c r="C18" s="333"/>
      <c r="D18" s="312"/>
      <c r="E18" s="313"/>
      <c r="F18" s="289" t="str">
        <f>IF(tk_nr_deelnemers&gt;Selecties!B125,Selecties!B51,Selecties!D51)</f>
        <v xml:space="preserve">Toegestaan : </v>
      </c>
      <c r="G18" s="313"/>
      <c r="H18" s="313"/>
      <c r="I18" s="334"/>
      <c r="J18" s="3"/>
      <c r="K18" s="3"/>
      <c r="L18" s="3"/>
      <c r="M18" s="4"/>
      <c r="N18" s="10"/>
      <c r="O18" s="10"/>
      <c r="Y18" s="6"/>
      <c r="Z18" s="6"/>
      <c r="AA18" s="6"/>
      <c r="AB18" s="218"/>
      <c r="AC18" s="6"/>
      <c r="AD18" s="6"/>
    </row>
    <row r="19" spans="1:30" customFormat="1" ht="20" customHeight="1" x14ac:dyDescent="0.2">
      <c r="A19" s="10"/>
      <c r="B19" s="332" t="str">
        <f>IF(tk_nr_deelnemers&gt;Selecties!H126,Selecties!G39,Selecties!B39)</f>
        <v>Niet OK. Deelnemers &lt; 10</v>
      </c>
      <c r="C19" s="335"/>
      <c r="D19" s="312"/>
      <c r="E19" s="313"/>
      <c r="F19" s="289" t="str">
        <f>IF(tk_nr_deelnemers&gt;Selecties!B126,Selecties!B51,Selecties!D51)</f>
        <v xml:space="preserve">Toegestaan : </v>
      </c>
      <c r="G19" s="313"/>
      <c r="H19" s="313"/>
      <c r="I19" s="334"/>
      <c r="J19" s="3"/>
      <c r="K19" s="3"/>
      <c r="L19" s="3"/>
      <c r="M19" s="4"/>
      <c r="N19" s="10"/>
      <c r="O19" s="10"/>
      <c r="Y19" s="6"/>
      <c r="Z19" s="6"/>
      <c r="AA19" s="6"/>
      <c r="AB19" s="218"/>
      <c r="AC19" s="6"/>
      <c r="AD19" s="6"/>
    </row>
    <row r="20" spans="1:30" customFormat="1" ht="20" customHeight="1" x14ac:dyDescent="0.2">
      <c r="A20" s="10"/>
      <c r="B20" s="332" t="str">
        <f>IF(tk_nr_deelnemers&gt;Selecties!H127,Selecties!G40,Selecties!B40)</f>
        <v>Niet OK. Deelnemers &lt; 15</v>
      </c>
      <c r="C20" s="335"/>
      <c r="D20" s="318"/>
      <c r="E20" s="319"/>
      <c r="F20" s="289" t="str">
        <f>Selecties!D51</f>
        <v xml:space="preserve">Toegestaan : </v>
      </c>
      <c r="G20" s="319"/>
      <c r="H20" s="319"/>
      <c r="I20" s="320"/>
      <c r="J20" s="284"/>
      <c r="K20" s="284"/>
      <c r="L20" s="284"/>
      <c r="M20" s="285"/>
      <c r="N20" s="10"/>
      <c r="O20" s="10"/>
      <c r="Y20" s="6"/>
      <c r="Z20" s="6"/>
      <c r="AA20" s="6"/>
      <c r="AB20" s="220"/>
      <c r="AC20" s="6"/>
      <c r="AD20" s="6"/>
    </row>
    <row r="21" spans="1:30" customFormat="1" ht="20" customHeight="1" thickBot="1" x14ac:dyDescent="0.25">
      <c r="A21" s="10"/>
      <c r="B21" s="341" t="str">
        <f>IF(tk_nr_deelnemers&gt;Selecties!H127,Selecties!G41,Selecties!B41)</f>
        <v>Niet OK. Deelnemers &lt; 15</v>
      </c>
      <c r="C21" s="342"/>
      <c r="D21" s="305"/>
      <c r="E21" s="343"/>
      <c r="F21" s="290" t="str">
        <f>Selecties!D51</f>
        <v xml:space="preserve">Toegestaan : </v>
      </c>
      <c r="G21" s="306"/>
      <c r="H21" s="306"/>
      <c r="I21" s="306"/>
      <c r="J21" s="286"/>
      <c r="K21" s="286"/>
      <c r="L21" s="286"/>
      <c r="M21" s="287"/>
      <c r="N21" s="10"/>
      <c r="O21" s="10"/>
      <c r="Y21" s="6"/>
      <c r="Z21" s="6"/>
      <c r="AA21" s="6"/>
      <c r="AB21" s="220"/>
      <c r="AC21" s="6"/>
      <c r="AD21" s="6"/>
    </row>
    <row r="22" spans="1:30" customFormat="1" ht="16" thickBo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Y22" s="6"/>
      <c r="Z22" s="6"/>
      <c r="AA22" s="6"/>
      <c r="AB22" s="219"/>
      <c r="AC22" s="6"/>
      <c r="AD22" s="6"/>
    </row>
    <row r="23" spans="1:30" ht="15.75" customHeight="1" thickTop="1" x14ac:dyDescent="0.2">
      <c r="B23" s="295" t="str">
        <f>Selecties!B53</f>
        <v>Nr:</v>
      </c>
      <c r="C23" s="295" t="str">
        <f>Selecties!B54</f>
        <v>Roepnaam</v>
      </c>
      <c r="D23" s="321" t="str">
        <f>Selecties!B55</f>
        <v>Tussen
voegsel</v>
      </c>
      <c r="E23" s="295" t="str">
        <f>Selecties!B56</f>
        <v>Achternaam</v>
      </c>
      <c r="F23" s="91" t="str">
        <f>Selecties!B57</f>
        <v>Geboorte datum</v>
      </c>
      <c r="G23" s="92" t="str">
        <f>Selecties!B59</f>
        <v>Geslacht</v>
      </c>
      <c r="H23" s="91" t="str">
        <f>Selecties!B61</f>
        <v>Graduatie:</v>
      </c>
      <c r="I23" s="93" t="str">
        <f>Selecties!B62</f>
        <v>Tuls</v>
      </c>
      <c r="J23" s="94" t="str">
        <f>Selecties!B64</f>
        <v>Sparring</v>
      </c>
      <c r="K23" s="94" t="str">
        <f>Selecties!B66</f>
        <v>Gewicht</v>
      </c>
      <c r="L23" s="293" t="str">
        <f>Selecties!B68</f>
        <v>Klasse</v>
      </c>
      <c r="M23" s="321" t="str">
        <f>Selecties!B69</f>
        <v>Tuls
Klasse</v>
      </c>
      <c r="N23" s="321" t="str">
        <f>Selecties!B70</f>
        <v>Sparring
Klasse</v>
      </c>
      <c r="O23" s="95"/>
      <c r="P23" s="95"/>
      <c r="R23" s="101" t="s">
        <v>110</v>
      </c>
      <c r="S23" s="101" t="s">
        <v>10</v>
      </c>
      <c r="T23" s="102" t="s">
        <v>89</v>
      </c>
      <c r="U23" s="102" t="s">
        <v>117</v>
      </c>
      <c r="V23" s="102" t="s">
        <v>117</v>
      </c>
      <c r="W23" s="102" t="s">
        <v>135</v>
      </c>
      <c r="X23" s="102" t="s">
        <v>92</v>
      </c>
      <c r="Y23" s="102" t="s">
        <v>39</v>
      </c>
      <c r="Z23" s="102" t="s">
        <v>39</v>
      </c>
      <c r="AA23" s="102" t="s">
        <v>252</v>
      </c>
      <c r="AB23" s="102" t="s">
        <v>261</v>
      </c>
    </row>
    <row r="24" spans="1:30" ht="16" thickBot="1" x14ac:dyDescent="0.25">
      <c r="B24" s="296"/>
      <c r="C24" s="296"/>
      <c r="D24" s="322"/>
      <c r="E24" s="296"/>
      <c r="F24" s="96" t="str">
        <f>Selecties!B58</f>
        <v>Dag / Maand / Jaar</v>
      </c>
      <c r="G24" s="97" t="str">
        <f>Selecties!B60</f>
        <v>M / V</v>
      </c>
      <c r="H24" s="96"/>
      <c r="I24" s="98" t="str">
        <f>Selecties!B63</f>
        <v>Ja/ Nee</v>
      </c>
      <c r="J24" s="99" t="str">
        <f>Selecties!B65</f>
        <v>Ja/ Nee</v>
      </c>
      <c r="K24" s="99" t="str">
        <f>Selecties!B67</f>
        <v>Kg</v>
      </c>
      <c r="L24" s="294"/>
      <c r="M24" s="322"/>
      <c r="N24" s="322"/>
      <c r="O24" s="95"/>
      <c r="P24" s="95"/>
      <c r="R24" s="103" t="s">
        <v>111</v>
      </c>
      <c r="S24" s="103"/>
      <c r="T24" s="104" t="s">
        <v>90</v>
      </c>
      <c r="U24" s="104" t="s">
        <v>134</v>
      </c>
      <c r="V24" s="104" t="s">
        <v>254</v>
      </c>
      <c r="W24" s="104" t="s">
        <v>133</v>
      </c>
      <c r="X24" s="104" t="s">
        <v>91</v>
      </c>
      <c r="Y24" s="104" t="s">
        <v>259</v>
      </c>
      <c r="Z24" s="104" t="s">
        <v>133</v>
      </c>
      <c r="AA24" s="104" t="s">
        <v>253</v>
      </c>
      <c r="AB24" s="104" t="s">
        <v>91</v>
      </c>
    </row>
    <row r="25" spans="1:30" ht="16" thickTop="1" x14ac:dyDescent="0.2">
      <c r="B25" s="116">
        <v>1</v>
      </c>
      <c r="C25" s="268"/>
      <c r="D25" s="269"/>
      <c r="E25" s="270"/>
      <c r="F25" s="271"/>
      <c r="G25" s="272"/>
      <c r="H25" s="273"/>
      <c r="I25" s="274"/>
      <c r="J25" s="274"/>
      <c r="K25" s="275"/>
      <c r="L25" s="134" t="str">
        <f>V25</f>
        <v/>
      </c>
      <c r="M25" s="153" t="str">
        <f>X25</f>
        <v/>
      </c>
      <c r="N25" s="135" t="str">
        <f>AB25</f>
        <v/>
      </c>
      <c r="O25" s="95"/>
      <c r="P25" s="95"/>
      <c r="R25" s="10" t="b">
        <f t="shared" ref="R25:R56" si="0">AND($C25&lt;&gt;"",COUNTA($E25:$J25)=6,OR( AND($J25=Selecties_ja,$K25&lt;&gt;""), $J25=selectie_onwaar))</f>
        <v>0</v>
      </c>
      <c r="S25" s="57" t="str">
        <f t="shared" ref="S25:S56" si="1">IF(F25&lt;&gt;"", FLOOR((selectie_tournament_date-F25)/365.25,1),"")</f>
        <v/>
      </c>
      <c r="T25" s="119" t="str">
        <f t="shared" ref="T25:T40" si="2">IF(  R25,  IF(   AND(I25=Selecties_ja,J25=Selecties_ja),   Inschrijf_geld_dubbel_item,   IF(OR(I25=Selecties_ja,J25=Selecties_ja),Inschrijf_geld_single_item,"")),"")</f>
        <v/>
      </c>
      <c r="U25" s="14" t="str">
        <f t="shared" ref="U25:U40" si="3">IF(S25&lt;&gt;"",IF(S25&lt;Selecties_Leeftijd_junior_min, IF(G25="M",1,2), IF(S25&lt;Selecties_Leeftijd_senior_min, IF(G25="M",3,4), IF(G25="M",5,6) ) ),"")</f>
        <v/>
      </c>
      <c r="V25" s="10" t="str">
        <f>IF($H25&lt;&gt;"",VLOOKUP(U25,selectie_weight_ranges,7,FALSE),"")</f>
        <v/>
      </c>
      <c r="W25" s="14" t="str">
        <f t="shared" ref="W25:W74" si="4">IF($H25&lt;&gt;"",VLOOKUP($H25,Selectie_graduatie_range,2,FALSE),"")</f>
        <v/>
      </c>
      <c r="X25" s="10" t="str">
        <f t="shared" ref="X25:X40" si="5">IF(I25=Selecties_ja,IF(S25&lt;&gt;"",VLOOKUP(((U25-1)*3)+W25,Selectie_graduatie_range_names,2,FALSE),"--"),"")</f>
        <v/>
      </c>
      <c r="Y25" s="14" t="str">
        <f t="shared" ref="Y25:Y56" si="6">IF(AND(H25&lt;&gt;"",K25&lt;&gt;"",J25=Selecties_ja),VLOOKUP(U25,selectie_weight_ranges,10,FALSE),"")</f>
        <v/>
      </c>
      <c r="Z25" s="14" t="str">
        <f t="shared" ref="Z25:Z56" si="7">IF(AND(H25&lt;&gt;"",J25=Selecties_ja),VLOOKUP($H25,Selectie_graduatie_range,3,FALSE),"")</f>
        <v/>
      </c>
      <c r="AA25" s="63" t="str">
        <f t="shared" ref="AA25:AA56" ca="1" si="8">IF( J25=Selecties_ja,  _xlfn.IFNA( VLOOKUP(K25,     INDIRECT(VLOOKUP(U25,selectie_weight_ranges,2,FALSE) ),2,TRUE)+1, MIN(INDIRECT(VLOOKUP(U25,selectie_weight_ranges,2,FALSE)),2,TRUE)), " ")</f>
        <v xml:space="preserve"> </v>
      </c>
      <c r="AB25" s="220" t="str">
        <f t="shared" ref="AB25:AB56" si="9">IF( Y25&lt;&gt;"",  VLOOKUP(AC25,selectie_spar_names_range,2,FALSE),"")</f>
        <v/>
      </c>
      <c r="AC25" s="14" t="str">
        <f t="shared" ref="AC25:AC56" si="10">IF(Y25&lt;&gt;"", Y25+((Z25-1)*VLOOKUP(U25,selectie_weight_ranges,9,FALSE))+(AA25-1),"")</f>
        <v/>
      </c>
    </row>
    <row r="26" spans="1:30" x14ac:dyDescent="0.2">
      <c r="B26" s="117">
        <f>1+B25</f>
        <v>2</v>
      </c>
      <c r="C26" s="276"/>
      <c r="D26" s="277"/>
      <c r="E26" s="278"/>
      <c r="F26" s="271"/>
      <c r="G26" s="280"/>
      <c r="H26" s="281"/>
      <c r="I26" s="282"/>
      <c r="J26" s="283"/>
      <c r="K26" s="279"/>
      <c r="L26" s="221" t="str">
        <f t="shared" ref="L26:L74" si="11">V26</f>
        <v/>
      </c>
      <c r="M26" s="222" t="str">
        <f t="shared" ref="M26:M74" si="12">X26</f>
        <v/>
      </c>
      <c r="N26" s="223" t="str">
        <f t="shared" ref="N26:N74" si="13">AB26</f>
        <v/>
      </c>
      <c r="O26" s="95"/>
      <c r="P26" s="95"/>
      <c r="R26" s="10" t="b">
        <f t="shared" si="0"/>
        <v>0</v>
      </c>
      <c r="S26" s="57" t="str">
        <f t="shared" si="1"/>
        <v/>
      </c>
      <c r="T26" s="119" t="str">
        <f t="shared" si="2"/>
        <v/>
      </c>
      <c r="U26" s="14" t="str">
        <f t="shared" si="3"/>
        <v/>
      </c>
      <c r="V26" s="10" t="str">
        <f t="shared" ref="V26:V74" si="14">IF($H26&lt;&gt;"",VLOOKUP(U26,selectie_weight_ranges,7,FALSE),"")</f>
        <v/>
      </c>
      <c r="W26" s="14" t="str">
        <f t="shared" si="4"/>
        <v/>
      </c>
      <c r="X26" s="10" t="str">
        <f t="shared" si="5"/>
        <v/>
      </c>
      <c r="Y26" s="14" t="str">
        <f t="shared" si="6"/>
        <v/>
      </c>
      <c r="Z26" s="14" t="str">
        <f t="shared" si="7"/>
        <v/>
      </c>
      <c r="AA26" s="63" t="str">
        <f t="shared" ca="1" si="8"/>
        <v xml:space="preserve"> </v>
      </c>
      <c r="AB26" s="220" t="str">
        <f t="shared" si="9"/>
        <v/>
      </c>
      <c r="AC26" s="14" t="str">
        <f t="shared" si="10"/>
        <v/>
      </c>
    </row>
    <row r="27" spans="1:30" x14ac:dyDescent="0.2">
      <c r="B27" s="117">
        <f t="shared" ref="B27:B74" si="15">1+B26</f>
        <v>3</v>
      </c>
      <c r="C27" s="276"/>
      <c r="D27" s="277"/>
      <c r="E27" s="278"/>
      <c r="F27" s="271"/>
      <c r="G27" s="280"/>
      <c r="H27" s="281"/>
      <c r="I27" s="282"/>
      <c r="J27" s="283"/>
      <c r="K27" s="279"/>
      <c r="L27" s="221" t="str">
        <f t="shared" si="11"/>
        <v/>
      </c>
      <c r="M27" s="222" t="str">
        <f t="shared" si="12"/>
        <v/>
      </c>
      <c r="N27" s="223" t="str">
        <f t="shared" si="13"/>
        <v/>
      </c>
      <c r="O27" s="95"/>
      <c r="P27" s="95"/>
      <c r="R27" s="10" t="b">
        <f t="shared" si="0"/>
        <v>0</v>
      </c>
      <c r="S27" s="57" t="str">
        <f t="shared" si="1"/>
        <v/>
      </c>
      <c r="T27" s="119" t="str">
        <f t="shared" si="2"/>
        <v/>
      </c>
      <c r="U27" s="14" t="str">
        <f t="shared" si="3"/>
        <v/>
      </c>
      <c r="V27" s="10" t="str">
        <f t="shared" si="14"/>
        <v/>
      </c>
      <c r="W27" s="14" t="str">
        <f t="shared" si="4"/>
        <v/>
      </c>
      <c r="X27" s="10" t="str">
        <f t="shared" si="5"/>
        <v/>
      </c>
      <c r="Y27" s="14" t="str">
        <f t="shared" si="6"/>
        <v/>
      </c>
      <c r="Z27" s="14" t="str">
        <f t="shared" si="7"/>
        <v/>
      </c>
      <c r="AA27" s="63" t="str">
        <f t="shared" ca="1" si="8"/>
        <v xml:space="preserve"> </v>
      </c>
      <c r="AB27" s="220" t="str">
        <f t="shared" si="9"/>
        <v/>
      </c>
      <c r="AC27" s="14" t="str">
        <f t="shared" si="10"/>
        <v/>
      </c>
    </row>
    <row r="28" spans="1:30" x14ac:dyDescent="0.2">
      <c r="B28" s="117">
        <f t="shared" si="15"/>
        <v>4</v>
      </c>
      <c r="C28" s="276"/>
      <c r="D28" s="277"/>
      <c r="E28" s="278"/>
      <c r="F28" s="271"/>
      <c r="G28" s="280"/>
      <c r="H28" s="281"/>
      <c r="I28" s="282"/>
      <c r="J28" s="283"/>
      <c r="K28" s="279"/>
      <c r="L28" s="221" t="str">
        <f t="shared" si="11"/>
        <v/>
      </c>
      <c r="M28" s="222" t="str">
        <f t="shared" si="12"/>
        <v/>
      </c>
      <c r="N28" s="223" t="str">
        <f t="shared" si="13"/>
        <v/>
      </c>
      <c r="O28" s="95"/>
      <c r="P28" s="95"/>
      <c r="R28" s="10" t="b">
        <f t="shared" si="0"/>
        <v>0</v>
      </c>
      <c r="S28" s="57" t="str">
        <f t="shared" si="1"/>
        <v/>
      </c>
      <c r="T28" s="119" t="str">
        <f t="shared" si="2"/>
        <v/>
      </c>
      <c r="U28" s="14" t="str">
        <f t="shared" si="3"/>
        <v/>
      </c>
      <c r="V28" s="10" t="str">
        <f t="shared" si="14"/>
        <v/>
      </c>
      <c r="W28" s="14" t="str">
        <f t="shared" si="4"/>
        <v/>
      </c>
      <c r="X28" s="10" t="str">
        <f t="shared" si="5"/>
        <v/>
      </c>
      <c r="Y28" s="14" t="str">
        <f t="shared" si="6"/>
        <v/>
      </c>
      <c r="Z28" s="14" t="str">
        <f t="shared" si="7"/>
        <v/>
      </c>
      <c r="AA28" s="63" t="str">
        <f t="shared" ca="1" si="8"/>
        <v xml:space="preserve"> </v>
      </c>
      <c r="AB28" s="220" t="str">
        <f t="shared" si="9"/>
        <v/>
      </c>
      <c r="AC28" s="14" t="str">
        <f t="shared" si="10"/>
        <v/>
      </c>
    </row>
    <row r="29" spans="1:30" x14ac:dyDescent="0.2">
      <c r="B29" s="117">
        <f t="shared" si="15"/>
        <v>5</v>
      </c>
      <c r="C29" s="276"/>
      <c r="D29" s="277"/>
      <c r="E29" s="278"/>
      <c r="F29" s="271"/>
      <c r="G29" s="280"/>
      <c r="H29" s="281"/>
      <c r="I29" s="282"/>
      <c r="J29" s="283"/>
      <c r="K29" s="279"/>
      <c r="L29" s="221" t="str">
        <f t="shared" si="11"/>
        <v/>
      </c>
      <c r="M29" s="222" t="str">
        <f t="shared" si="12"/>
        <v/>
      </c>
      <c r="N29" s="223" t="str">
        <f t="shared" si="13"/>
        <v/>
      </c>
      <c r="O29" s="95"/>
      <c r="P29" s="95"/>
      <c r="R29" s="10" t="b">
        <f t="shared" si="0"/>
        <v>0</v>
      </c>
      <c r="S29" s="57" t="str">
        <f t="shared" si="1"/>
        <v/>
      </c>
      <c r="T29" s="119" t="str">
        <f t="shared" si="2"/>
        <v/>
      </c>
      <c r="U29" s="14" t="str">
        <f t="shared" si="3"/>
        <v/>
      </c>
      <c r="V29" s="10" t="str">
        <f t="shared" si="14"/>
        <v/>
      </c>
      <c r="W29" s="14" t="str">
        <f t="shared" si="4"/>
        <v/>
      </c>
      <c r="X29" s="10" t="str">
        <f t="shared" si="5"/>
        <v/>
      </c>
      <c r="Y29" s="14" t="str">
        <f t="shared" si="6"/>
        <v/>
      </c>
      <c r="Z29" s="14" t="str">
        <f t="shared" si="7"/>
        <v/>
      </c>
      <c r="AA29" s="63" t="str">
        <f t="shared" ca="1" si="8"/>
        <v xml:space="preserve"> </v>
      </c>
      <c r="AB29" s="220" t="str">
        <f t="shared" si="9"/>
        <v/>
      </c>
      <c r="AC29" s="14" t="str">
        <f t="shared" si="10"/>
        <v/>
      </c>
    </row>
    <row r="30" spans="1:30" x14ac:dyDescent="0.2">
      <c r="B30" s="117">
        <f t="shared" si="15"/>
        <v>6</v>
      </c>
      <c r="C30" s="276"/>
      <c r="D30" s="277"/>
      <c r="E30" s="278"/>
      <c r="F30" s="271"/>
      <c r="G30" s="280"/>
      <c r="H30" s="281"/>
      <c r="I30" s="282"/>
      <c r="J30" s="283"/>
      <c r="K30" s="279"/>
      <c r="L30" s="221" t="str">
        <f t="shared" si="11"/>
        <v/>
      </c>
      <c r="M30" s="222" t="str">
        <f t="shared" si="12"/>
        <v/>
      </c>
      <c r="N30" s="223" t="str">
        <f t="shared" si="13"/>
        <v/>
      </c>
      <c r="O30" s="95"/>
      <c r="P30" s="95"/>
      <c r="R30" s="10" t="b">
        <f t="shared" si="0"/>
        <v>0</v>
      </c>
      <c r="S30" s="57" t="str">
        <f t="shared" si="1"/>
        <v/>
      </c>
      <c r="T30" s="119" t="str">
        <f t="shared" si="2"/>
        <v/>
      </c>
      <c r="U30" s="14" t="str">
        <f t="shared" si="3"/>
        <v/>
      </c>
      <c r="V30" s="10" t="str">
        <f t="shared" si="14"/>
        <v/>
      </c>
      <c r="W30" s="14" t="str">
        <f t="shared" si="4"/>
        <v/>
      </c>
      <c r="X30" s="10" t="str">
        <f t="shared" si="5"/>
        <v/>
      </c>
      <c r="Y30" s="14" t="str">
        <f t="shared" si="6"/>
        <v/>
      </c>
      <c r="Z30" s="14" t="str">
        <f t="shared" si="7"/>
        <v/>
      </c>
      <c r="AA30" s="63" t="str">
        <f t="shared" ca="1" si="8"/>
        <v xml:space="preserve"> </v>
      </c>
      <c r="AB30" s="220" t="str">
        <f t="shared" si="9"/>
        <v/>
      </c>
      <c r="AC30" s="14" t="str">
        <f t="shared" si="10"/>
        <v/>
      </c>
    </row>
    <row r="31" spans="1:30" x14ac:dyDescent="0.2">
      <c r="B31" s="117">
        <f t="shared" si="15"/>
        <v>7</v>
      </c>
      <c r="C31" s="267"/>
      <c r="D31" s="123"/>
      <c r="E31" s="123"/>
      <c r="F31" s="271"/>
      <c r="G31" s="280"/>
      <c r="H31" s="281"/>
      <c r="I31" s="282"/>
      <c r="J31" s="283"/>
      <c r="K31" s="279"/>
      <c r="L31" s="221" t="str">
        <f t="shared" si="11"/>
        <v/>
      </c>
      <c r="M31" s="222" t="str">
        <f t="shared" si="12"/>
        <v/>
      </c>
      <c r="N31" s="223" t="str">
        <f t="shared" si="13"/>
        <v/>
      </c>
      <c r="O31" s="95"/>
      <c r="P31" s="95"/>
      <c r="R31" s="10" t="b">
        <f t="shared" si="0"/>
        <v>0</v>
      </c>
      <c r="S31" s="57" t="str">
        <f t="shared" si="1"/>
        <v/>
      </c>
      <c r="T31" s="119" t="str">
        <f t="shared" si="2"/>
        <v/>
      </c>
      <c r="U31" s="14" t="str">
        <f t="shared" si="3"/>
        <v/>
      </c>
      <c r="V31" s="10" t="str">
        <f t="shared" si="14"/>
        <v/>
      </c>
      <c r="W31" s="14" t="str">
        <f t="shared" si="4"/>
        <v/>
      </c>
      <c r="X31" s="10" t="str">
        <f t="shared" si="5"/>
        <v/>
      </c>
      <c r="Y31" s="14" t="str">
        <f t="shared" si="6"/>
        <v/>
      </c>
      <c r="Z31" s="14" t="str">
        <f t="shared" si="7"/>
        <v/>
      </c>
      <c r="AA31" s="63" t="str">
        <f t="shared" ca="1" si="8"/>
        <v xml:space="preserve"> </v>
      </c>
      <c r="AB31" s="220" t="str">
        <f t="shared" si="9"/>
        <v/>
      </c>
      <c r="AC31" s="14" t="str">
        <f t="shared" si="10"/>
        <v/>
      </c>
    </row>
    <row r="32" spans="1:30" x14ac:dyDescent="0.2">
      <c r="B32" s="117">
        <f t="shared" si="15"/>
        <v>8</v>
      </c>
      <c r="C32" s="267"/>
      <c r="D32" s="123"/>
      <c r="E32" s="123"/>
      <c r="F32" s="271"/>
      <c r="G32" s="280"/>
      <c r="H32" s="281"/>
      <c r="I32" s="282"/>
      <c r="J32" s="283"/>
      <c r="K32" s="279"/>
      <c r="L32" s="221" t="str">
        <f t="shared" si="11"/>
        <v/>
      </c>
      <c r="M32" s="222" t="str">
        <f t="shared" si="12"/>
        <v/>
      </c>
      <c r="N32" s="223" t="str">
        <f t="shared" si="13"/>
        <v/>
      </c>
      <c r="O32" s="95"/>
      <c r="P32" s="95"/>
      <c r="R32" s="10" t="b">
        <f t="shared" si="0"/>
        <v>0</v>
      </c>
      <c r="S32" s="57" t="str">
        <f t="shared" si="1"/>
        <v/>
      </c>
      <c r="T32" s="119" t="str">
        <f t="shared" si="2"/>
        <v/>
      </c>
      <c r="U32" s="14" t="str">
        <f t="shared" si="3"/>
        <v/>
      </c>
      <c r="V32" s="10" t="str">
        <f t="shared" si="14"/>
        <v/>
      </c>
      <c r="W32" s="14" t="str">
        <f t="shared" si="4"/>
        <v/>
      </c>
      <c r="X32" s="10" t="str">
        <f t="shared" si="5"/>
        <v/>
      </c>
      <c r="Y32" s="14" t="str">
        <f t="shared" si="6"/>
        <v/>
      </c>
      <c r="Z32" s="14" t="str">
        <f t="shared" si="7"/>
        <v/>
      </c>
      <c r="AA32" s="63" t="str">
        <f t="shared" ca="1" si="8"/>
        <v xml:space="preserve"> </v>
      </c>
      <c r="AB32" s="220" t="str">
        <f t="shared" si="9"/>
        <v/>
      </c>
      <c r="AC32" s="14" t="str">
        <f t="shared" si="10"/>
        <v/>
      </c>
    </row>
    <row r="33" spans="2:29" x14ac:dyDescent="0.2">
      <c r="B33" s="117">
        <f t="shared" si="15"/>
        <v>9</v>
      </c>
      <c r="C33" s="267"/>
      <c r="D33" s="123"/>
      <c r="E33" s="123"/>
      <c r="F33" s="271"/>
      <c r="G33" s="280"/>
      <c r="H33" s="281"/>
      <c r="I33" s="282"/>
      <c r="J33" s="283"/>
      <c r="K33" s="279"/>
      <c r="L33" s="221" t="str">
        <f t="shared" si="11"/>
        <v/>
      </c>
      <c r="M33" s="222" t="str">
        <f t="shared" si="12"/>
        <v/>
      </c>
      <c r="N33" s="223" t="str">
        <f t="shared" si="13"/>
        <v/>
      </c>
      <c r="O33" s="95"/>
      <c r="P33" s="95"/>
      <c r="R33" s="10" t="b">
        <f t="shared" si="0"/>
        <v>0</v>
      </c>
      <c r="S33" s="57" t="str">
        <f t="shared" si="1"/>
        <v/>
      </c>
      <c r="T33" s="119" t="str">
        <f t="shared" si="2"/>
        <v/>
      </c>
      <c r="U33" s="14" t="str">
        <f t="shared" si="3"/>
        <v/>
      </c>
      <c r="V33" s="10" t="str">
        <f t="shared" si="14"/>
        <v/>
      </c>
      <c r="W33" s="14" t="str">
        <f t="shared" si="4"/>
        <v/>
      </c>
      <c r="X33" s="10" t="str">
        <f t="shared" si="5"/>
        <v/>
      </c>
      <c r="Y33" s="14" t="str">
        <f t="shared" si="6"/>
        <v/>
      </c>
      <c r="Z33" s="14" t="str">
        <f t="shared" si="7"/>
        <v/>
      </c>
      <c r="AA33" s="63" t="str">
        <f t="shared" ca="1" si="8"/>
        <v xml:space="preserve"> </v>
      </c>
      <c r="AB33" s="220" t="str">
        <f t="shared" si="9"/>
        <v/>
      </c>
      <c r="AC33" s="14" t="str">
        <f t="shared" si="10"/>
        <v/>
      </c>
    </row>
    <row r="34" spans="2:29" x14ac:dyDescent="0.2">
      <c r="B34" s="117">
        <f t="shared" si="15"/>
        <v>10</v>
      </c>
      <c r="C34" s="267"/>
      <c r="D34" s="123"/>
      <c r="E34" s="123"/>
      <c r="F34" s="271"/>
      <c r="G34" s="280"/>
      <c r="H34" s="281"/>
      <c r="I34" s="282"/>
      <c r="J34" s="283"/>
      <c r="K34" s="279"/>
      <c r="L34" s="221" t="str">
        <f t="shared" si="11"/>
        <v/>
      </c>
      <c r="M34" s="222" t="str">
        <f t="shared" si="12"/>
        <v/>
      </c>
      <c r="N34" s="223" t="str">
        <f t="shared" si="13"/>
        <v/>
      </c>
      <c r="O34" s="95"/>
      <c r="P34" s="95"/>
      <c r="R34" s="10" t="b">
        <f t="shared" si="0"/>
        <v>0</v>
      </c>
      <c r="S34" s="57" t="str">
        <f t="shared" si="1"/>
        <v/>
      </c>
      <c r="T34" s="119" t="str">
        <f t="shared" si="2"/>
        <v/>
      </c>
      <c r="U34" s="14" t="str">
        <f t="shared" si="3"/>
        <v/>
      </c>
      <c r="V34" s="10" t="str">
        <f t="shared" si="14"/>
        <v/>
      </c>
      <c r="W34" s="14" t="str">
        <f t="shared" si="4"/>
        <v/>
      </c>
      <c r="X34" s="10" t="str">
        <f t="shared" si="5"/>
        <v/>
      </c>
      <c r="Y34" s="14" t="str">
        <f t="shared" si="6"/>
        <v/>
      </c>
      <c r="Z34" s="14" t="str">
        <f t="shared" si="7"/>
        <v/>
      </c>
      <c r="AA34" s="63" t="str">
        <f t="shared" ca="1" si="8"/>
        <v xml:space="preserve"> </v>
      </c>
      <c r="AB34" s="220" t="str">
        <f t="shared" si="9"/>
        <v/>
      </c>
      <c r="AC34" s="14" t="str">
        <f t="shared" si="10"/>
        <v/>
      </c>
    </row>
    <row r="35" spans="2:29" x14ac:dyDescent="0.2">
      <c r="B35" s="117">
        <f t="shared" si="15"/>
        <v>11</v>
      </c>
      <c r="C35" s="267"/>
      <c r="D35" s="123"/>
      <c r="E35" s="123"/>
      <c r="F35" s="271"/>
      <c r="G35" s="280"/>
      <c r="H35" s="281"/>
      <c r="I35" s="282"/>
      <c r="J35" s="283"/>
      <c r="K35" s="279"/>
      <c r="L35" s="221" t="str">
        <f t="shared" si="11"/>
        <v/>
      </c>
      <c r="M35" s="222" t="str">
        <f t="shared" si="12"/>
        <v/>
      </c>
      <c r="N35" s="223" t="str">
        <f t="shared" si="13"/>
        <v/>
      </c>
      <c r="O35" s="95"/>
      <c r="P35" s="95"/>
      <c r="R35" s="10" t="b">
        <f t="shared" si="0"/>
        <v>0</v>
      </c>
      <c r="S35" s="57" t="str">
        <f t="shared" si="1"/>
        <v/>
      </c>
      <c r="T35" s="119" t="str">
        <f t="shared" si="2"/>
        <v/>
      </c>
      <c r="U35" s="14" t="str">
        <f t="shared" si="3"/>
        <v/>
      </c>
      <c r="V35" s="10" t="str">
        <f t="shared" si="14"/>
        <v/>
      </c>
      <c r="W35" s="14" t="str">
        <f t="shared" si="4"/>
        <v/>
      </c>
      <c r="X35" s="10" t="str">
        <f t="shared" si="5"/>
        <v/>
      </c>
      <c r="Y35" s="14" t="str">
        <f t="shared" si="6"/>
        <v/>
      </c>
      <c r="Z35" s="14" t="str">
        <f t="shared" si="7"/>
        <v/>
      </c>
      <c r="AA35" s="63" t="str">
        <f t="shared" ca="1" si="8"/>
        <v xml:space="preserve"> </v>
      </c>
      <c r="AB35" s="220" t="str">
        <f t="shared" si="9"/>
        <v/>
      </c>
      <c r="AC35" s="14" t="str">
        <f t="shared" si="10"/>
        <v/>
      </c>
    </row>
    <row r="36" spans="2:29" x14ac:dyDescent="0.2">
      <c r="B36" s="117">
        <f t="shared" si="15"/>
        <v>12</v>
      </c>
      <c r="C36" s="267"/>
      <c r="D36" s="123"/>
      <c r="E36" s="123"/>
      <c r="F36" s="271"/>
      <c r="G36" s="280"/>
      <c r="H36" s="281"/>
      <c r="I36" s="282"/>
      <c r="J36" s="283"/>
      <c r="K36" s="279"/>
      <c r="L36" s="221" t="str">
        <f t="shared" si="11"/>
        <v/>
      </c>
      <c r="M36" s="222" t="str">
        <f t="shared" si="12"/>
        <v/>
      </c>
      <c r="N36" s="223" t="str">
        <f t="shared" si="13"/>
        <v/>
      </c>
      <c r="O36" s="95"/>
      <c r="P36" s="95"/>
      <c r="R36" s="10" t="b">
        <f t="shared" si="0"/>
        <v>0</v>
      </c>
      <c r="S36" s="57" t="str">
        <f t="shared" si="1"/>
        <v/>
      </c>
      <c r="T36" s="119" t="str">
        <f t="shared" si="2"/>
        <v/>
      </c>
      <c r="U36" s="14" t="str">
        <f t="shared" si="3"/>
        <v/>
      </c>
      <c r="V36" s="10" t="str">
        <f t="shared" si="14"/>
        <v/>
      </c>
      <c r="W36" s="14" t="str">
        <f t="shared" si="4"/>
        <v/>
      </c>
      <c r="X36" s="10" t="str">
        <f t="shared" si="5"/>
        <v/>
      </c>
      <c r="Y36" s="14" t="str">
        <f t="shared" si="6"/>
        <v/>
      </c>
      <c r="Z36" s="14" t="str">
        <f t="shared" si="7"/>
        <v/>
      </c>
      <c r="AA36" s="63" t="str">
        <f t="shared" ca="1" si="8"/>
        <v xml:space="preserve"> </v>
      </c>
      <c r="AB36" s="220" t="str">
        <f t="shared" si="9"/>
        <v/>
      </c>
      <c r="AC36" s="14" t="str">
        <f t="shared" si="10"/>
        <v/>
      </c>
    </row>
    <row r="37" spans="2:29" x14ac:dyDescent="0.2">
      <c r="B37" s="117">
        <f t="shared" si="15"/>
        <v>13</v>
      </c>
      <c r="C37" s="267"/>
      <c r="D37" s="123"/>
      <c r="E37" s="123"/>
      <c r="F37" s="271"/>
      <c r="G37" s="280"/>
      <c r="H37" s="281"/>
      <c r="I37" s="282"/>
      <c r="J37" s="283"/>
      <c r="K37" s="279"/>
      <c r="L37" s="221" t="str">
        <f t="shared" si="11"/>
        <v/>
      </c>
      <c r="M37" s="222" t="str">
        <f t="shared" si="12"/>
        <v/>
      </c>
      <c r="N37" s="223" t="str">
        <f t="shared" si="13"/>
        <v/>
      </c>
      <c r="O37" s="95"/>
      <c r="P37" s="95"/>
      <c r="R37" s="10" t="b">
        <f t="shared" si="0"/>
        <v>0</v>
      </c>
      <c r="S37" s="57" t="str">
        <f t="shared" si="1"/>
        <v/>
      </c>
      <c r="T37" s="119" t="str">
        <f t="shared" si="2"/>
        <v/>
      </c>
      <c r="U37" s="14" t="str">
        <f t="shared" si="3"/>
        <v/>
      </c>
      <c r="V37" s="10" t="str">
        <f t="shared" si="14"/>
        <v/>
      </c>
      <c r="W37" s="14" t="str">
        <f t="shared" si="4"/>
        <v/>
      </c>
      <c r="X37" s="10" t="str">
        <f t="shared" si="5"/>
        <v/>
      </c>
      <c r="Y37" s="14" t="str">
        <f t="shared" si="6"/>
        <v/>
      </c>
      <c r="Z37" s="14" t="str">
        <f t="shared" si="7"/>
        <v/>
      </c>
      <c r="AA37" s="63" t="str">
        <f t="shared" ca="1" si="8"/>
        <v xml:space="preserve"> </v>
      </c>
      <c r="AB37" s="220" t="str">
        <f t="shared" si="9"/>
        <v/>
      </c>
      <c r="AC37" s="14" t="str">
        <f t="shared" si="10"/>
        <v/>
      </c>
    </row>
    <row r="38" spans="2:29" x14ac:dyDescent="0.2">
      <c r="B38" s="117">
        <f t="shared" si="15"/>
        <v>14</v>
      </c>
      <c r="C38" s="5"/>
      <c r="D38" s="123"/>
      <c r="E38" s="123"/>
      <c r="F38" s="271"/>
      <c r="G38" s="246"/>
      <c r="H38" s="248"/>
      <c r="I38" s="249"/>
      <c r="J38" s="250"/>
      <c r="K38" s="129"/>
      <c r="L38" s="221" t="str">
        <f t="shared" si="11"/>
        <v/>
      </c>
      <c r="M38" s="222" t="str">
        <f t="shared" si="12"/>
        <v/>
      </c>
      <c r="N38" s="223" t="str">
        <f t="shared" si="13"/>
        <v/>
      </c>
      <c r="O38" s="95"/>
      <c r="P38" s="95"/>
      <c r="R38" s="10" t="b">
        <f t="shared" si="0"/>
        <v>0</v>
      </c>
      <c r="S38" s="57" t="str">
        <f t="shared" si="1"/>
        <v/>
      </c>
      <c r="T38" s="119" t="str">
        <f t="shared" si="2"/>
        <v/>
      </c>
      <c r="U38" s="14" t="str">
        <f t="shared" si="3"/>
        <v/>
      </c>
      <c r="V38" s="10" t="str">
        <f t="shared" si="14"/>
        <v/>
      </c>
      <c r="W38" s="14" t="str">
        <f t="shared" si="4"/>
        <v/>
      </c>
      <c r="X38" s="10" t="str">
        <f t="shared" si="5"/>
        <v/>
      </c>
      <c r="Y38" s="14" t="str">
        <f t="shared" si="6"/>
        <v/>
      </c>
      <c r="Z38" s="14" t="str">
        <f t="shared" si="7"/>
        <v/>
      </c>
      <c r="AA38" s="63" t="str">
        <f t="shared" ca="1" si="8"/>
        <v xml:space="preserve"> </v>
      </c>
      <c r="AB38" s="220" t="str">
        <f t="shared" si="9"/>
        <v/>
      </c>
      <c r="AC38" s="14" t="str">
        <f t="shared" si="10"/>
        <v/>
      </c>
    </row>
    <row r="39" spans="2:29" x14ac:dyDescent="0.2">
      <c r="B39" s="117">
        <f t="shared" si="15"/>
        <v>15</v>
      </c>
      <c r="C39" s="5"/>
      <c r="D39" s="123"/>
      <c r="E39" s="123"/>
      <c r="F39" s="271"/>
      <c r="G39" s="246"/>
      <c r="H39" s="248"/>
      <c r="I39" s="249"/>
      <c r="J39" s="250"/>
      <c r="K39" s="129"/>
      <c r="L39" s="221" t="str">
        <f t="shared" si="11"/>
        <v/>
      </c>
      <c r="M39" s="222" t="str">
        <f t="shared" si="12"/>
        <v/>
      </c>
      <c r="N39" s="223" t="str">
        <f t="shared" si="13"/>
        <v/>
      </c>
      <c r="O39" s="95"/>
      <c r="P39" s="95"/>
      <c r="R39" s="10" t="b">
        <f t="shared" si="0"/>
        <v>0</v>
      </c>
      <c r="S39" s="57" t="str">
        <f t="shared" si="1"/>
        <v/>
      </c>
      <c r="T39" s="119" t="str">
        <f t="shared" si="2"/>
        <v/>
      </c>
      <c r="U39" s="14" t="str">
        <f t="shared" si="3"/>
        <v/>
      </c>
      <c r="V39" s="10" t="str">
        <f t="shared" si="14"/>
        <v/>
      </c>
      <c r="W39" s="14" t="str">
        <f t="shared" si="4"/>
        <v/>
      </c>
      <c r="X39" s="10" t="str">
        <f t="shared" si="5"/>
        <v/>
      </c>
      <c r="Y39" s="14" t="str">
        <f t="shared" si="6"/>
        <v/>
      </c>
      <c r="Z39" s="14" t="str">
        <f t="shared" si="7"/>
        <v/>
      </c>
      <c r="AA39" s="63" t="str">
        <f t="shared" ca="1" si="8"/>
        <v xml:space="preserve"> </v>
      </c>
      <c r="AB39" s="220" t="str">
        <f t="shared" si="9"/>
        <v/>
      </c>
      <c r="AC39" s="14" t="str">
        <f t="shared" si="10"/>
        <v/>
      </c>
    </row>
    <row r="40" spans="2:29" x14ac:dyDescent="0.2">
      <c r="B40" s="117">
        <f t="shared" si="15"/>
        <v>16</v>
      </c>
      <c r="C40" s="5"/>
      <c r="D40" s="123"/>
      <c r="E40" s="123"/>
      <c r="F40" s="271"/>
      <c r="G40" s="246"/>
      <c r="H40" s="248"/>
      <c r="I40" s="249"/>
      <c r="J40" s="250"/>
      <c r="K40" s="129"/>
      <c r="L40" s="221" t="str">
        <f t="shared" si="11"/>
        <v/>
      </c>
      <c r="M40" s="222" t="str">
        <f t="shared" si="12"/>
        <v/>
      </c>
      <c r="N40" s="223" t="str">
        <f t="shared" si="13"/>
        <v/>
      </c>
      <c r="O40" s="95"/>
      <c r="P40" s="95"/>
      <c r="R40" s="10" t="b">
        <f t="shared" si="0"/>
        <v>0</v>
      </c>
      <c r="S40" s="57" t="str">
        <f t="shared" si="1"/>
        <v/>
      </c>
      <c r="T40" s="119" t="str">
        <f t="shared" si="2"/>
        <v/>
      </c>
      <c r="U40" s="14" t="str">
        <f t="shared" si="3"/>
        <v/>
      </c>
      <c r="V40" s="10" t="str">
        <f t="shared" si="14"/>
        <v/>
      </c>
      <c r="W40" s="14" t="str">
        <f t="shared" si="4"/>
        <v/>
      </c>
      <c r="X40" s="10" t="str">
        <f t="shared" si="5"/>
        <v/>
      </c>
      <c r="Y40" s="14" t="str">
        <f t="shared" si="6"/>
        <v/>
      </c>
      <c r="Z40" s="14" t="str">
        <f t="shared" si="7"/>
        <v/>
      </c>
      <c r="AA40" s="63" t="str">
        <f t="shared" ca="1" si="8"/>
        <v xml:space="preserve"> </v>
      </c>
      <c r="AB40" s="220" t="str">
        <f t="shared" si="9"/>
        <v/>
      </c>
      <c r="AC40" s="14" t="str">
        <f t="shared" si="10"/>
        <v/>
      </c>
    </row>
    <row r="41" spans="2:29" x14ac:dyDescent="0.2">
      <c r="B41" s="117">
        <f t="shared" si="15"/>
        <v>17</v>
      </c>
      <c r="C41" s="5"/>
      <c r="D41" s="123"/>
      <c r="E41" s="123"/>
      <c r="F41" s="271"/>
      <c r="G41" s="246"/>
      <c r="H41" s="248"/>
      <c r="I41" s="249"/>
      <c r="J41" s="250"/>
      <c r="K41" s="129"/>
      <c r="L41" s="221" t="str">
        <f t="shared" si="11"/>
        <v/>
      </c>
      <c r="M41" s="222" t="str">
        <f t="shared" si="12"/>
        <v/>
      </c>
      <c r="N41" s="223" t="str">
        <f t="shared" si="13"/>
        <v/>
      </c>
      <c r="O41" s="95"/>
      <c r="P41" s="95"/>
      <c r="R41" s="10" t="b">
        <f t="shared" si="0"/>
        <v>0</v>
      </c>
      <c r="S41" s="57" t="str">
        <f t="shared" si="1"/>
        <v/>
      </c>
      <c r="T41" s="119" t="str">
        <f t="shared" ref="T41:T74" si="16">IF(  R41,  IF(   AND(I41=Selecties_ja,J41=Selecties_ja),   Inschrijf_geld_dubbel_item,   IF(OR(I41=Selecties_ja,J41=Selecties_ja),Inschrijf_geld_single_item,"")),"")</f>
        <v/>
      </c>
      <c r="U41" s="14" t="str">
        <f t="shared" ref="U41:U74" si="17">IF(S41&lt;&gt;"",IF(S41&lt;Selecties_Leeftijd_junior_min, IF(G41="M",1,2), IF(S41&lt;Selecties_Leeftijd_senior_min, IF(G41="M",3,4), IF(G41="M",5,6) ) ),"")</f>
        <v/>
      </c>
      <c r="V41" s="10" t="str">
        <f t="shared" si="14"/>
        <v/>
      </c>
      <c r="W41" s="14" t="str">
        <f t="shared" si="4"/>
        <v/>
      </c>
      <c r="X41" s="10" t="str">
        <f t="shared" ref="X41:X74" si="18">IF(I41=Selecties_ja,IF(S41&lt;&gt;"",VLOOKUP(((U41-1)*3)+W41,Selectie_graduatie_range_names,2,FALSE),"--"),"")</f>
        <v/>
      </c>
      <c r="Y41" s="14" t="str">
        <f t="shared" si="6"/>
        <v/>
      </c>
      <c r="Z41" s="14" t="str">
        <f t="shared" si="7"/>
        <v/>
      </c>
      <c r="AA41" s="63" t="str">
        <f t="shared" ca="1" si="8"/>
        <v xml:space="preserve"> </v>
      </c>
      <c r="AB41" s="220" t="str">
        <f t="shared" si="9"/>
        <v/>
      </c>
      <c r="AC41" s="14" t="str">
        <f t="shared" si="10"/>
        <v/>
      </c>
    </row>
    <row r="42" spans="2:29" x14ac:dyDescent="0.2">
      <c r="B42" s="117">
        <f t="shared" si="15"/>
        <v>18</v>
      </c>
      <c r="C42" s="5"/>
      <c r="D42" s="123"/>
      <c r="E42" s="123"/>
      <c r="F42" s="271"/>
      <c r="G42" s="246"/>
      <c r="H42" s="248"/>
      <c r="I42" s="249"/>
      <c r="J42" s="250"/>
      <c r="K42" s="129"/>
      <c r="L42" s="221" t="str">
        <f t="shared" si="11"/>
        <v/>
      </c>
      <c r="M42" s="222" t="str">
        <f t="shared" si="12"/>
        <v/>
      </c>
      <c r="N42" s="223" t="str">
        <f t="shared" si="13"/>
        <v/>
      </c>
      <c r="O42" s="95"/>
      <c r="P42" s="95"/>
      <c r="R42" s="10" t="b">
        <f t="shared" si="0"/>
        <v>0</v>
      </c>
      <c r="S42" s="57" t="str">
        <f t="shared" si="1"/>
        <v/>
      </c>
      <c r="T42" s="119" t="str">
        <f t="shared" si="16"/>
        <v/>
      </c>
      <c r="U42" s="14" t="str">
        <f t="shared" si="17"/>
        <v/>
      </c>
      <c r="V42" s="10" t="str">
        <f t="shared" si="14"/>
        <v/>
      </c>
      <c r="W42" s="14" t="str">
        <f t="shared" si="4"/>
        <v/>
      </c>
      <c r="X42" s="10" t="str">
        <f t="shared" si="18"/>
        <v/>
      </c>
      <c r="Y42" s="14" t="str">
        <f t="shared" si="6"/>
        <v/>
      </c>
      <c r="Z42" s="14" t="str">
        <f t="shared" si="7"/>
        <v/>
      </c>
      <c r="AA42" s="63" t="str">
        <f t="shared" ca="1" si="8"/>
        <v xml:space="preserve"> </v>
      </c>
      <c r="AB42" s="220" t="str">
        <f t="shared" si="9"/>
        <v/>
      </c>
      <c r="AC42" s="14" t="str">
        <f t="shared" si="10"/>
        <v/>
      </c>
    </row>
    <row r="43" spans="2:29" x14ac:dyDescent="0.2">
      <c r="B43" s="117">
        <f t="shared" si="15"/>
        <v>19</v>
      </c>
      <c r="C43" s="126"/>
      <c r="D43" s="127"/>
      <c r="E43" s="128"/>
      <c r="F43" s="271"/>
      <c r="G43" s="246"/>
      <c r="H43" s="248"/>
      <c r="I43" s="249"/>
      <c r="J43" s="250"/>
      <c r="K43" s="129"/>
      <c r="L43" s="221" t="str">
        <f t="shared" si="11"/>
        <v/>
      </c>
      <c r="M43" s="222" t="str">
        <f t="shared" si="12"/>
        <v/>
      </c>
      <c r="N43" s="223" t="str">
        <f t="shared" si="13"/>
        <v/>
      </c>
      <c r="O43" s="95"/>
      <c r="P43" s="95"/>
      <c r="R43" s="10" t="b">
        <f t="shared" si="0"/>
        <v>0</v>
      </c>
      <c r="S43" s="57" t="str">
        <f t="shared" si="1"/>
        <v/>
      </c>
      <c r="T43" s="119" t="str">
        <f t="shared" si="16"/>
        <v/>
      </c>
      <c r="U43" s="14" t="str">
        <f t="shared" si="17"/>
        <v/>
      </c>
      <c r="V43" s="10" t="str">
        <f t="shared" si="14"/>
        <v/>
      </c>
      <c r="W43" s="14" t="str">
        <f t="shared" si="4"/>
        <v/>
      </c>
      <c r="X43" s="10" t="str">
        <f t="shared" si="18"/>
        <v/>
      </c>
      <c r="Y43" s="14" t="str">
        <f t="shared" si="6"/>
        <v/>
      </c>
      <c r="Z43" s="14" t="str">
        <f t="shared" si="7"/>
        <v/>
      </c>
      <c r="AA43" s="63" t="str">
        <f t="shared" ca="1" si="8"/>
        <v xml:space="preserve"> </v>
      </c>
      <c r="AB43" s="220" t="str">
        <f t="shared" si="9"/>
        <v/>
      </c>
      <c r="AC43" s="14" t="str">
        <f t="shared" si="10"/>
        <v/>
      </c>
    </row>
    <row r="44" spans="2:29" x14ac:dyDescent="0.2">
      <c r="B44" s="117">
        <f t="shared" si="15"/>
        <v>20</v>
      </c>
      <c r="C44" s="126"/>
      <c r="D44" s="127"/>
      <c r="E44" s="128"/>
      <c r="F44" s="271"/>
      <c r="G44" s="246"/>
      <c r="H44" s="248"/>
      <c r="I44" s="249"/>
      <c r="J44" s="250"/>
      <c r="K44" s="129"/>
      <c r="L44" s="221" t="str">
        <f t="shared" si="11"/>
        <v/>
      </c>
      <c r="M44" s="222" t="str">
        <f t="shared" si="12"/>
        <v/>
      </c>
      <c r="N44" s="223" t="str">
        <f t="shared" si="13"/>
        <v/>
      </c>
      <c r="O44" s="95"/>
      <c r="P44" s="95"/>
      <c r="R44" s="10" t="b">
        <f t="shared" si="0"/>
        <v>0</v>
      </c>
      <c r="S44" s="57" t="str">
        <f t="shared" si="1"/>
        <v/>
      </c>
      <c r="T44" s="119" t="str">
        <f t="shared" si="16"/>
        <v/>
      </c>
      <c r="U44" s="14" t="str">
        <f t="shared" si="17"/>
        <v/>
      </c>
      <c r="V44" s="10" t="str">
        <f t="shared" si="14"/>
        <v/>
      </c>
      <c r="W44" s="14" t="str">
        <f t="shared" si="4"/>
        <v/>
      </c>
      <c r="X44" s="10" t="str">
        <f t="shared" si="18"/>
        <v/>
      </c>
      <c r="Y44" s="14" t="str">
        <f t="shared" si="6"/>
        <v/>
      </c>
      <c r="Z44" s="14" t="str">
        <f t="shared" si="7"/>
        <v/>
      </c>
      <c r="AA44" s="63" t="str">
        <f t="shared" ca="1" si="8"/>
        <v xml:space="preserve"> </v>
      </c>
      <c r="AB44" s="220" t="str">
        <f t="shared" si="9"/>
        <v/>
      </c>
      <c r="AC44" s="14" t="str">
        <f t="shared" si="10"/>
        <v/>
      </c>
    </row>
    <row r="45" spans="2:29" x14ac:dyDescent="0.2">
      <c r="B45" s="117">
        <f t="shared" si="15"/>
        <v>21</v>
      </c>
      <c r="C45" s="126"/>
      <c r="D45" s="127"/>
      <c r="E45" s="128"/>
      <c r="F45" s="271"/>
      <c r="G45" s="246"/>
      <c r="H45" s="248"/>
      <c r="I45" s="249"/>
      <c r="J45" s="250"/>
      <c r="K45" s="129"/>
      <c r="L45" s="221" t="str">
        <f t="shared" si="11"/>
        <v/>
      </c>
      <c r="M45" s="222" t="str">
        <f t="shared" si="12"/>
        <v/>
      </c>
      <c r="N45" s="223" t="str">
        <f t="shared" si="13"/>
        <v/>
      </c>
      <c r="O45" s="95"/>
      <c r="P45" s="95"/>
      <c r="R45" s="10" t="b">
        <f t="shared" si="0"/>
        <v>0</v>
      </c>
      <c r="S45" s="57" t="str">
        <f t="shared" si="1"/>
        <v/>
      </c>
      <c r="T45" s="119" t="str">
        <f t="shared" si="16"/>
        <v/>
      </c>
      <c r="U45" s="14" t="str">
        <f t="shared" si="17"/>
        <v/>
      </c>
      <c r="V45" s="10" t="str">
        <f t="shared" si="14"/>
        <v/>
      </c>
      <c r="W45" s="14" t="str">
        <f t="shared" si="4"/>
        <v/>
      </c>
      <c r="X45" s="10" t="str">
        <f t="shared" si="18"/>
        <v/>
      </c>
      <c r="Y45" s="14" t="str">
        <f t="shared" si="6"/>
        <v/>
      </c>
      <c r="Z45" s="14" t="str">
        <f t="shared" si="7"/>
        <v/>
      </c>
      <c r="AA45" s="63" t="str">
        <f t="shared" ca="1" si="8"/>
        <v xml:space="preserve"> </v>
      </c>
      <c r="AB45" s="220" t="str">
        <f t="shared" si="9"/>
        <v/>
      </c>
      <c r="AC45" s="14" t="str">
        <f t="shared" si="10"/>
        <v/>
      </c>
    </row>
    <row r="46" spans="2:29" x14ac:dyDescent="0.2">
      <c r="B46" s="117">
        <f t="shared" si="15"/>
        <v>22</v>
      </c>
      <c r="C46" s="126"/>
      <c r="D46" s="127"/>
      <c r="E46" s="128"/>
      <c r="F46" s="271"/>
      <c r="G46" s="246"/>
      <c r="H46" s="248"/>
      <c r="I46" s="249"/>
      <c r="J46" s="250"/>
      <c r="K46" s="129"/>
      <c r="L46" s="221" t="str">
        <f t="shared" si="11"/>
        <v/>
      </c>
      <c r="M46" s="222" t="str">
        <f t="shared" si="12"/>
        <v/>
      </c>
      <c r="N46" s="223" t="str">
        <f t="shared" si="13"/>
        <v/>
      </c>
      <c r="O46" s="95"/>
      <c r="P46" s="95"/>
      <c r="R46" s="10" t="b">
        <f t="shared" si="0"/>
        <v>0</v>
      </c>
      <c r="S46" s="57" t="str">
        <f t="shared" si="1"/>
        <v/>
      </c>
      <c r="T46" s="119" t="str">
        <f t="shared" si="16"/>
        <v/>
      </c>
      <c r="U46" s="14" t="str">
        <f t="shared" si="17"/>
        <v/>
      </c>
      <c r="V46" s="10" t="str">
        <f t="shared" si="14"/>
        <v/>
      </c>
      <c r="W46" s="14" t="str">
        <f t="shared" si="4"/>
        <v/>
      </c>
      <c r="X46" s="10" t="str">
        <f t="shared" si="18"/>
        <v/>
      </c>
      <c r="Y46" s="14" t="str">
        <f t="shared" si="6"/>
        <v/>
      </c>
      <c r="Z46" s="14" t="str">
        <f t="shared" si="7"/>
        <v/>
      </c>
      <c r="AA46" s="63" t="str">
        <f t="shared" ca="1" si="8"/>
        <v xml:space="preserve"> </v>
      </c>
      <c r="AB46" s="220" t="str">
        <f t="shared" si="9"/>
        <v/>
      </c>
      <c r="AC46" s="14" t="str">
        <f t="shared" si="10"/>
        <v/>
      </c>
    </row>
    <row r="47" spans="2:29" x14ac:dyDescent="0.2">
      <c r="B47" s="117">
        <f t="shared" si="15"/>
        <v>23</v>
      </c>
      <c r="C47" s="126"/>
      <c r="D47" s="127"/>
      <c r="E47" s="128"/>
      <c r="F47" s="271"/>
      <c r="G47" s="246"/>
      <c r="H47" s="248"/>
      <c r="I47" s="249"/>
      <c r="J47" s="250"/>
      <c r="K47" s="129"/>
      <c r="L47" s="221" t="str">
        <f t="shared" si="11"/>
        <v/>
      </c>
      <c r="M47" s="222" t="str">
        <f t="shared" si="12"/>
        <v/>
      </c>
      <c r="N47" s="223" t="str">
        <f t="shared" si="13"/>
        <v/>
      </c>
      <c r="O47" s="95"/>
      <c r="P47" s="95"/>
      <c r="R47" s="10" t="b">
        <f t="shared" si="0"/>
        <v>0</v>
      </c>
      <c r="S47" s="57" t="str">
        <f t="shared" si="1"/>
        <v/>
      </c>
      <c r="T47" s="119" t="str">
        <f t="shared" si="16"/>
        <v/>
      </c>
      <c r="U47" s="14" t="str">
        <f t="shared" si="17"/>
        <v/>
      </c>
      <c r="V47" s="10" t="str">
        <f t="shared" si="14"/>
        <v/>
      </c>
      <c r="W47" s="14" t="str">
        <f t="shared" si="4"/>
        <v/>
      </c>
      <c r="X47" s="10" t="str">
        <f t="shared" si="18"/>
        <v/>
      </c>
      <c r="Y47" s="14" t="str">
        <f t="shared" si="6"/>
        <v/>
      </c>
      <c r="Z47" s="14" t="str">
        <f t="shared" si="7"/>
        <v/>
      </c>
      <c r="AA47" s="63" t="str">
        <f t="shared" ca="1" si="8"/>
        <v xml:space="preserve"> </v>
      </c>
      <c r="AB47" s="220" t="str">
        <f t="shared" si="9"/>
        <v/>
      </c>
      <c r="AC47" s="14" t="str">
        <f t="shared" si="10"/>
        <v/>
      </c>
    </row>
    <row r="48" spans="2:29" x14ac:dyDescent="0.2">
      <c r="B48" s="117">
        <f t="shared" si="15"/>
        <v>24</v>
      </c>
      <c r="C48" s="126"/>
      <c r="D48" s="127"/>
      <c r="E48" s="128"/>
      <c r="F48" s="271"/>
      <c r="G48" s="246"/>
      <c r="H48" s="248"/>
      <c r="I48" s="249"/>
      <c r="J48" s="250"/>
      <c r="K48" s="129"/>
      <c r="L48" s="221" t="str">
        <f t="shared" si="11"/>
        <v/>
      </c>
      <c r="M48" s="222" t="str">
        <f t="shared" si="12"/>
        <v/>
      </c>
      <c r="N48" s="223" t="str">
        <f t="shared" si="13"/>
        <v/>
      </c>
      <c r="O48" s="95"/>
      <c r="P48" s="95"/>
      <c r="R48" s="10" t="b">
        <f t="shared" si="0"/>
        <v>0</v>
      </c>
      <c r="S48" s="57" t="str">
        <f t="shared" si="1"/>
        <v/>
      </c>
      <c r="T48" s="119" t="str">
        <f t="shared" si="16"/>
        <v/>
      </c>
      <c r="U48" s="14" t="str">
        <f t="shared" si="17"/>
        <v/>
      </c>
      <c r="V48" s="10" t="str">
        <f t="shared" si="14"/>
        <v/>
      </c>
      <c r="W48" s="14" t="str">
        <f t="shared" si="4"/>
        <v/>
      </c>
      <c r="X48" s="10" t="str">
        <f t="shared" si="18"/>
        <v/>
      </c>
      <c r="Y48" s="14" t="str">
        <f t="shared" si="6"/>
        <v/>
      </c>
      <c r="Z48" s="14" t="str">
        <f t="shared" si="7"/>
        <v/>
      </c>
      <c r="AA48" s="63" t="str">
        <f t="shared" ca="1" si="8"/>
        <v xml:space="preserve"> </v>
      </c>
      <c r="AB48" s="220" t="str">
        <f t="shared" si="9"/>
        <v/>
      </c>
      <c r="AC48" s="14" t="str">
        <f t="shared" si="10"/>
        <v/>
      </c>
    </row>
    <row r="49" spans="2:29" x14ac:dyDescent="0.2">
      <c r="B49" s="117">
        <f t="shared" si="15"/>
        <v>25</v>
      </c>
      <c r="C49" s="126"/>
      <c r="D49" s="127"/>
      <c r="E49" s="128"/>
      <c r="F49" s="271"/>
      <c r="G49" s="246"/>
      <c r="H49" s="248"/>
      <c r="I49" s="249"/>
      <c r="J49" s="250"/>
      <c r="K49" s="129"/>
      <c r="L49" s="221" t="str">
        <f t="shared" si="11"/>
        <v/>
      </c>
      <c r="M49" s="222" t="str">
        <f t="shared" si="12"/>
        <v/>
      </c>
      <c r="N49" s="223" t="str">
        <f t="shared" si="13"/>
        <v/>
      </c>
      <c r="O49" s="95"/>
      <c r="P49" s="95"/>
      <c r="R49" s="10" t="b">
        <f t="shared" si="0"/>
        <v>0</v>
      </c>
      <c r="S49" s="57" t="str">
        <f t="shared" si="1"/>
        <v/>
      </c>
      <c r="T49" s="119" t="str">
        <f t="shared" si="16"/>
        <v/>
      </c>
      <c r="U49" s="14" t="str">
        <f t="shared" si="17"/>
        <v/>
      </c>
      <c r="V49" s="10" t="str">
        <f t="shared" si="14"/>
        <v/>
      </c>
      <c r="W49" s="14" t="str">
        <f t="shared" si="4"/>
        <v/>
      </c>
      <c r="X49" s="10" t="str">
        <f t="shared" si="18"/>
        <v/>
      </c>
      <c r="Y49" s="14" t="str">
        <f t="shared" si="6"/>
        <v/>
      </c>
      <c r="Z49" s="14" t="str">
        <f t="shared" si="7"/>
        <v/>
      </c>
      <c r="AA49" s="63" t="str">
        <f t="shared" ca="1" si="8"/>
        <v xml:space="preserve"> </v>
      </c>
      <c r="AB49" s="220" t="str">
        <f t="shared" si="9"/>
        <v/>
      </c>
      <c r="AC49" s="14" t="str">
        <f t="shared" si="10"/>
        <v/>
      </c>
    </row>
    <row r="50" spans="2:29" x14ac:dyDescent="0.2">
      <c r="B50" s="117">
        <f t="shared" si="15"/>
        <v>26</v>
      </c>
      <c r="C50" s="126"/>
      <c r="D50" s="127"/>
      <c r="E50" s="128"/>
      <c r="F50" s="271"/>
      <c r="G50" s="246"/>
      <c r="H50" s="248"/>
      <c r="I50" s="249"/>
      <c r="J50" s="250"/>
      <c r="K50" s="129"/>
      <c r="L50" s="221" t="str">
        <f t="shared" si="11"/>
        <v/>
      </c>
      <c r="M50" s="222" t="str">
        <f t="shared" si="12"/>
        <v/>
      </c>
      <c r="N50" s="223" t="str">
        <f t="shared" si="13"/>
        <v/>
      </c>
      <c r="O50" s="95"/>
      <c r="P50" s="95"/>
      <c r="R50" s="10" t="b">
        <f t="shared" si="0"/>
        <v>0</v>
      </c>
      <c r="S50" s="57" t="str">
        <f t="shared" si="1"/>
        <v/>
      </c>
      <c r="T50" s="119" t="str">
        <f t="shared" si="16"/>
        <v/>
      </c>
      <c r="U50" s="14" t="str">
        <f t="shared" si="17"/>
        <v/>
      </c>
      <c r="V50" s="10" t="str">
        <f t="shared" si="14"/>
        <v/>
      </c>
      <c r="W50" s="14" t="str">
        <f t="shared" si="4"/>
        <v/>
      </c>
      <c r="X50" s="10" t="str">
        <f t="shared" si="18"/>
        <v/>
      </c>
      <c r="Y50" s="14" t="str">
        <f t="shared" si="6"/>
        <v/>
      </c>
      <c r="Z50" s="14" t="str">
        <f t="shared" si="7"/>
        <v/>
      </c>
      <c r="AA50" s="63" t="str">
        <f t="shared" ca="1" si="8"/>
        <v xml:space="preserve"> </v>
      </c>
      <c r="AB50" s="220" t="str">
        <f t="shared" si="9"/>
        <v/>
      </c>
      <c r="AC50" s="14" t="str">
        <f t="shared" si="10"/>
        <v/>
      </c>
    </row>
    <row r="51" spans="2:29" x14ac:dyDescent="0.2">
      <c r="B51" s="117">
        <f t="shared" si="15"/>
        <v>27</v>
      </c>
      <c r="C51" s="5"/>
      <c r="D51" s="123"/>
      <c r="E51" s="123"/>
      <c r="F51" s="271"/>
      <c r="G51" s="246"/>
      <c r="H51" s="248"/>
      <c r="I51" s="249"/>
      <c r="J51" s="250"/>
      <c r="K51" s="129"/>
      <c r="L51" s="221" t="str">
        <f t="shared" si="11"/>
        <v/>
      </c>
      <c r="M51" s="222" t="str">
        <f t="shared" si="12"/>
        <v/>
      </c>
      <c r="N51" s="223" t="str">
        <f t="shared" si="13"/>
        <v/>
      </c>
      <c r="O51" s="95"/>
      <c r="P51" s="95"/>
      <c r="R51" s="10" t="b">
        <f t="shared" si="0"/>
        <v>0</v>
      </c>
      <c r="S51" s="57" t="str">
        <f t="shared" si="1"/>
        <v/>
      </c>
      <c r="T51" s="119" t="str">
        <f t="shared" si="16"/>
        <v/>
      </c>
      <c r="U51" s="14" t="str">
        <f t="shared" si="17"/>
        <v/>
      </c>
      <c r="V51" s="10" t="str">
        <f t="shared" si="14"/>
        <v/>
      </c>
      <c r="W51" s="14" t="str">
        <f t="shared" si="4"/>
        <v/>
      </c>
      <c r="X51" s="10" t="str">
        <f t="shared" si="18"/>
        <v/>
      </c>
      <c r="Y51" s="14" t="str">
        <f t="shared" si="6"/>
        <v/>
      </c>
      <c r="Z51" s="14" t="str">
        <f t="shared" si="7"/>
        <v/>
      </c>
      <c r="AA51" s="63" t="str">
        <f t="shared" ca="1" si="8"/>
        <v xml:space="preserve"> </v>
      </c>
      <c r="AB51" s="220" t="str">
        <f t="shared" si="9"/>
        <v/>
      </c>
      <c r="AC51" s="14" t="str">
        <f t="shared" si="10"/>
        <v/>
      </c>
    </row>
    <row r="52" spans="2:29" x14ac:dyDescent="0.2">
      <c r="B52" s="117">
        <f t="shared" si="15"/>
        <v>28</v>
      </c>
      <c r="C52" s="5"/>
      <c r="D52" s="123"/>
      <c r="E52" s="123"/>
      <c r="F52" s="271"/>
      <c r="G52" s="246"/>
      <c r="H52" s="248"/>
      <c r="I52" s="249"/>
      <c r="J52" s="250"/>
      <c r="K52" s="129"/>
      <c r="L52" s="221" t="str">
        <f t="shared" si="11"/>
        <v/>
      </c>
      <c r="M52" s="222" t="str">
        <f t="shared" si="12"/>
        <v/>
      </c>
      <c r="N52" s="223" t="str">
        <f t="shared" si="13"/>
        <v/>
      </c>
      <c r="O52" s="95"/>
      <c r="P52" s="95"/>
      <c r="R52" s="10" t="b">
        <f t="shared" si="0"/>
        <v>0</v>
      </c>
      <c r="S52" s="57" t="str">
        <f t="shared" si="1"/>
        <v/>
      </c>
      <c r="T52" s="119" t="str">
        <f t="shared" si="16"/>
        <v/>
      </c>
      <c r="U52" s="14" t="str">
        <f t="shared" si="17"/>
        <v/>
      </c>
      <c r="V52" s="10" t="str">
        <f t="shared" si="14"/>
        <v/>
      </c>
      <c r="W52" s="14" t="str">
        <f t="shared" si="4"/>
        <v/>
      </c>
      <c r="X52" s="10" t="str">
        <f t="shared" si="18"/>
        <v/>
      </c>
      <c r="Y52" s="14" t="str">
        <f t="shared" si="6"/>
        <v/>
      </c>
      <c r="Z52" s="14" t="str">
        <f t="shared" si="7"/>
        <v/>
      </c>
      <c r="AA52" s="63" t="str">
        <f t="shared" ca="1" si="8"/>
        <v xml:space="preserve"> </v>
      </c>
      <c r="AB52" s="220" t="str">
        <f t="shared" si="9"/>
        <v/>
      </c>
      <c r="AC52" s="14" t="str">
        <f t="shared" si="10"/>
        <v/>
      </c>
    </row>
    <row r="53" spans="2:29" x14ac:dyDescent="0.2">
      <c r="B53" s="117">
        <f t="shared" si="15"/>
        <v>29</v>
      </c>
      <c r="C53" s="5"/>
      <c r="D53" s="123"/>
      <c r="E53" s="123"/>
      <c r="F53" s="271"/>
      <c r="G53" s="246"/>
      <c r="H53" s="248"/>
      <c r="I53" s="249"/>
      <c r="J53" s="250"/>
      <c r="K53" s="129"/>
      <c r="L53" s="221" t="str">
        <f t="shared" si="11"/>
        <v/>
      </c>
      <c r="M53" s="222" t="str">
        <f t="shared" si="12"/>
        <v/>
      </c>
      <c r="N53" s="223" t="str">
        <f t="shared" si="13"/>
        <v/>
      </c>
      <c r="O53" s="95"/>
      <c r="P53" s="95"/>
      <c r="R53" s="10" t="b">
        <f t="shared" si="0"/>
        <v>0</v>
      </c>
      <c r="S53" s="57" t="str">
        <f t="shared" si="1"/>
        <v/>
      </c>
      <c r="T53" s="119" t="str">
        <f t="shared" si="16"/>
        <v/>
      </c>
      <c r="U53" s="14" t="str">
        <f t="shared" si="17"/>
        <v/>
      </c>
      <c r="V53" s="10" t="str">
        <f t="shared" si="14"/>
        <v/>
      </c>
      <c r="W53" s="14" t="str">
        <f t="shared" si="4"/>
        <v/>
      </c>
      <c r="X53" s="10" t="str">
        <f t="shared" si="18"/>
        <v/>
      </c>
      <c r="Y53" s="14" t="str">
        <f t="shared" si="6"/>
        <v/>
      </c>
      <c r="Z53" s="14" t="str">
        <f t="shared" si="7"/>
        <v/>
      </c>
      <c r="AA53" s="63" t="str">
        <f t="shared" ca="1" si="8"/>
        <v xml:space="preserve"> </v>
      </c>
      <c r="AB53" s="220" t="str">
        <f t="shared" si="9"/>
        <v/>
      </c>
      <c r="AC53" s="14" t="str">
        <f t="shared" si="10"/>
        <v/>
      </c>
    </row>
    <row r="54" spans="2:29" x14ac:dyDescent="0.2">
      <c r="B54" s="117">
        <f t="shared" si="15"/>
        <v>30</v>
      </c>
      <c r="C54" s="5"/>
      <c r="D54" s="123"/>
      <c r="E54" s="123"/>
      <c r="F54" s="271"/>
      <c r="G54" s="246"/>
      <c r="H54" s="248"/>
      <c r="I54" s="249"/>
      <c r="J54" s="250"/>
      <c r="K54" s="129"/>
      <c r="L54" s="221" t="str">
        <f t="shared" si="11"/>
        <v/>
      </c>
      <c r="M54" s="222" t="str">
        <f t="shared" si="12"/>
        <v/>
      </c>
      <c r="N54" s="223" t="str">
        <f t="shared" si="13"/>
        <v/>
      </c>
      <c r="O54" s="95"/>
      <c r="P54" s="95"/>
      <c r="R54" s="10" t="b">
        <f t="shared" si="0"/>
        <v>0</v>
      </c>
      <c r="S54" s="57" t="str">
        <f t="shared" si="1"/>
        <v/>
      </c>
      <c r="T54" s="119" t="str">
        <f t="shared" si="16"/>
        <v/>
      </c>
      <c r="U54" s="14" t="str">
        <f t="shared" si="17"/>
        <v/>
      </c>
      <c r="V54" s="10" t="str">
        <f t="shared" si="14"/>
        <v/>
      </c>
      <c r="W54" s="14" t="str">
        <f t="shared" si="4"/>
        <v/>
      </c>
      <c r="X54" s="10" t="str">
        <f t="shared" si="18"/>
        <v/>
      </c>
      <c r="Y54" s="14" t="str">
        <f t="shared" si="6"/>
        <v/>
      </c>
      <c r="Z54" s="14" t="str">
        <f t="shared" si="7"/>
        <v/>
      </c>
      <c r="AA54" s="63" t="str">
        <f t="shared" ca="1" si="8"/>
        <v xml:space="preserve"> </v>
      </c>
      <c r="AB54" s="220" t="str">
        <f t="shared" si="9"/>
        <v/>
      </c>
      <c r="AC54" s="14" t="str">
        <f t="shared" si="10"/>
        <v/>
      </c>
    </row>
    <row r="55" spans="2:29" x14ac:dyDescent="0.2">
      <c r="B55" s="117">
        <f t="shared" si="15"/>
        <v>31</v>
      </c>
      <c r="C55" s="5"/>
      <c r="D55" s="123"/>
      <c r="E55" s="123"/>
      <c r="F55" s="271"/>
      <c r="G55" s="246"/>
      <c r="H55" s="248"/>
      <c r="I55" s="249"/>
      <c r="J55" s="250"/>
      <c r="K55" s="129"/>
      <c r="L55" s="221" t="str">
        <f t="shared" si="11"/>
        <v/>
      </c>
      <c r="M55" s="222" t="str">
        <f t="shared" si="12"/>
        <v/>
      </c>
      <c r="N55" s="223" t="str">
        <f t="shared" si="13"/>
        <v/>
      </c>
      <c r="O55" s="95"/>
      <c r="P55" s="95"/>
      <c r="R55" s="10" t="b">
        <f t="shared" si="0"/>
        <v>0</v>
      </c>
      <c r="S55" s="57" t="str">
        <f t="shared" si="1"/>
        <v/>
      </c>
      <c r="T55" s="119" t="str">
        <f t="shared" si="16"/>
        <v/>
      </c>
      <c r="U55" s="14" t="str">
        <f t="shared" si="17"/>
        <v/>
      </c>
      <c r="V55" s="10" t="str">
        <f t="shared" si="14"/>
        <v/>
      </c>
      <c r="W55" s="14" t="str">
        <f t="shared" si="4"/>
        <v/>
      </c>
      <c r="X55" s="10" t="str">
        <f t="shared" si="18"/>
        <v/>
      </c>
      <c r="Y55" s="14" t="str">
        <f t="shared" si="6"/>
        <v/>
      </c>
      <c r="Z55" s="14" t="str">
        <f t="shared" si="7"/>
        <v/>
      </c>
      <c r="AA55" s="63" t="str">
        <f t="shared" ca="1" si="8"/>
        <v xml:space="preserve"> </v>
      </c>
      <c r="AB55" s="220" t="str">
        <f t="shared" si="9"/>
        <v/>
      </c>
      <c r="AC55" s="14" t="str">
        <f t="shared" si="10"/>
        <v/>
      </c>
    </row>
    <row r="56" spans="2:29" x14ac:dyDescent="0.2">
      <c r="B56" s="117">
        <f t="shared" si="15"/>
        <v>32</v>
      </c>
      <c r="C56" s="5"/>
      <c r="D56" s="123"/>
      <c r="E56" s="123"/>
      <c r="F56" s="271"/>
      <c r="G56" s="246"/>
      <c r="H56" s="248"/>
      <c r="I56" s="249"/>
      <c r="J56" s="250"/>
      <c r="K56" s="129"/>
      <c r="L56" s="221" t="str">
        <f t="shared" si="11"/>
        <v/>
      </c>
      <c r="M56" s="222" t="str">
        <f t="shared" si="12"/>
        <v/>
      </c>
      <c r="N56" s="223" t="str">
        <f t="shared" si="13"/>
        <v/>
      </c>
      <c r="O56" s="95"/>
      <c r="P56" s="95"/>
      <c r="R56" s="10" t="b">
        <f t="shared" si="0"/>
        <v>0</v>
      </c>
      <c r="S56" s="57" t="str">
        <f t="shared" si="1"/>
        <v/>
      </c>
      <c r="T56" s="119" t="str">
        <f t="shared" si="16"/>
        <v/>
      </c>
      <c r="U56" s="14" t="str">
        <f t="shared" si="17"/>
        <v/>
      </c>
      <c r="V56" s="10" t="str">
        <f t="shared" si="14"/>
        <v/>
      </c>
      <c r="W56" s="14" t="str">
        <f t="shared" si="4"/>
        <v/>
      </c>
      <c r="X56" s="10" t="str">
        <f t="shared" si="18"/>
        <v/>
      </c>
      <c r="Y56" s="14" t="str">
        <f t="shared" si="6"/>
        <v/>
      </c>
      <c r="Z56" s="14" t="str">
        <f t="shared" si="7"/>
        <v/>
      </c>
      <c r="AA56" s="63" t="str">
        <f t="shared" ca="1" si="8"/>
        <v xml:space="preserve"> </v>
      </c>
      <c r="AB56" s="220" t="str">
        <f t="shared" si="9"/>
        <v/>
      </c>
      <c r="AC56" s="14" t="str">
        <f t="shared" si="10"/>
        <v/>
      </c>
    </row>
    <row r="57" spans="2:29" x14ac:dyDescent="0.2">
      <c r="B57" s="117">
        <f t="shared" si="15"/>
        <v>33</v>
      </c>
      <c r="C57" s="5"/>
      <c r="D57" s="123"/>
      <c r="E57" s="123"/>
      <c r="F57" s="271"/>
      <c r="G57" s="246"/>
      <c r="H57" s="248"/>
      <c r="I57" s="249"/>
      <c r="J57" s="250"/>
      <c r="K57" s="129"/>
      <c r="L57" s="221" t="str">
        <f t="shared" si="11"/>
        <v/>
      </c>
      <c r="M57" s="222" t="str">
        <f t="shared" si="12"/>
        <v/>
      </c>
      <c r="N57" s="223" t="str">
        <f t="shared" si="13"/>
        <v/>
      </c>
      <c r="O57" s="95"/>
      <c r="P57" s="95"/>
      <c r="R57" s="10" t="b">
        <f t="shared" ref="R57:R74" si="19">AND($C57&lt;&gt;"",COUNTA($E57:$J57)=6,OR( AND($J57=Selecties_ja,$K57&lt;&gt;""), $J57=selectie_onwaar))</f>
        <v>0</v>
      </c>
      <c r="S57" s="57" t="str">
        <f t="shared" ref="S57:S74" si="20">IF(F57&lt;&gt;"", FLOOR((selectie_tournament_date-F57)/365.25,1),"")</f>
        <v/>
      </c>
      <c r="T57" s="119" t="str">
        <f t="shared" si="16"/>
        <v/>
      </c>
      <c r="U57" s="14" t="str">
        <f t="shared" si="17"/>
        <v/>
      </c>
      <c r="V57" s="10" t="str">
        <f t="shared" si="14"/>
        <v/>
      </c>
      <c r="W57" s="14" t="str">
        <f t="shared" si="4"/>
        <v/>
      </c>
      <c r="X57" s="10" t="str">
        <f t="shared" si="18"/>
        <v/>
      </c>
      <c r="Y57" s="14" t="str">
        <f t="shared" ref="Y57:Y74" si="21">IF(AND(H57&lt;&gt;"",K57&lt;&gt;"",J57=Selecties_ja),VLOOKUP(U57,selectie_weight_ranges,10,FALSE),"")</f>
        <v/>
      </c>
      <c r="Z57" s="14" t="str">
        <f t="shared" ref="Z57:Z74" si="22">IF(AND(H57&lt;&gt;"",J57=Selecties_ja),VLOOKUP($H57,Selectie_graduatie_range,3,FALSE),"")</f>
        <v/>
      </c>
      <c r="AA57" s="63" t="str">
        <f t="shared" ref="AA57:AA74" ca="1" si="23">IF( J57=Selecties_ja,  _xlfn.IFNA( VLOOKUP(K57,     INDIRECT(VLOOKUP(U57,selectie_weight_ranges,2,FALSE) ),2,TRUE)+1, MIN(INDIRECT(VLOOKUP(U57,selectie_weight_ranges,2,FALSE)),2,TRUE)), " ")</f>
        <v xml:space="preserve"> </v>
      </c>
      <c r="AB57" s="220" t="str">
        <f t="shared" ref="AB57:AB74" si="24">IF( Y57&lt;&gt;"",  VLOOKUP(AC57,selectie_spar_names_range,2,FALSE),"")</f>
        <v/>
      </c>
      <c r="AC57" s="14" t="str">
        <f t="shared" ref="AC57:AC74" si="25">IF(Y57&lt;&gt;"", Y57+((Z57-1)*VLOOKUP(U57,selectie_weight_ranges,9,FALSE))+(AA57-1),"")</f>
        <v/>
      </c>
    </row>
    <row r="58" spans="2:29" x14ac:dyDescent="0.2">
      <c r="B58" s="117">
        <f t="shared" si="15"/>
        <v>34</v>
      </c>
      <c r="C58" s="5"/>
      <c r="D58" s="123"/>
      <c r="E58" s="123"/>
      <c r="F58" s="271"/>
      <c r="G58" s="246"/>
      <c r="H58" s="248"/>
      <c r="I58" s="249"/>
      <c r="J58" s="250"/>
      <c r="K58" s="129"/>
      <c r="L58" s="221" t="str">
        <f t="shared" si="11"/>
        <v/>
      </c>
      <c r="M58" s="222" t="str">
        <f t="shared" si="12"/>
        <v/>
      </c>
      <c r="N58" s="223" t="str">
        <f t="shared" si="13"/>
        <v/>
      </c>
      <c r="O58" s="95"/>
      <c r="P58" s="95"/>
      <c r="R58" s="10" t="b">
        <f t="shared" si="19"/>
        <v>0</v>
      </c>
      <c r="S58" s="57" t="str">
        <f t="shared" si="20"/>
        <v/>
      </c>
      <c r="T58" s="119" t="str">
        <f t="shared" si="16"/>
        <v/>
      </c>
      <c r="U58" s="14" t="str">
        <f t="shared" si="17"/>
        <v/>
      </c>
      <c r="V58" s="10" t="str">
        <f t="shared" si="14"/>
        <v/>
      </c>
      <c r="W58" s="14" t="str">
        <f t="shared" si="4"/>
        <v/>
      </c>
      <c r="X58" s="10" t="str">
        <f t="shared" si="18"/>
        <v/>
      </c>
      <c r="Y58" s="14" t="str">
        <f t="shared" si="21"/>
        <v/>
      </c>
      <c r="Z58" s="14" t="str">
        <f t="shared" si="22"/>
        <v/>
      </c>
      <c r="AA58" s="63" t="str">
        <f t="shared" ca="1" si="23"/>
        <v xml:space="preserve"> </v>
      </c>
      <c r="AB58" s="220" t="str">
        <f t="shared" si="24"/>
        <v/>
      </c>
      <c r="AC58" s="14" t="str">
        <f t="shared" si="25"/>
        <v/>
      </c>
    </row>
    <row r="59" spans="2:29" x14ac:dyDescent="0.2">
      <c r="B59" s="117">
        <f t="shared" si="15"/>
        <v>35</v>
      </c>
      <c r="C59" s="5"/>
      <c r="D59" s="123"/>
      <c r="E59" s="123"/>
      <c r="F59" s="271"/>
      <c r="G59" s="246"/>
      <c r="H59" s="248"/>
      <c r="I59" s="249"/>
      <c r="J59" s="250"/>
      <c r="K59" s="129"/>
      <c r="L59" s="221" t="str">
        <f t="shared" si="11"/>
        <v/>
      </c>
      <c r="M59" s="222" t="str">
        <f t="shared" si="12"/>
        <v/>
      </c>
      <c r="N59" s="223" t="str">
        <f t="shared" si="13"/>
        <v/>
      </c>
      <c r="O59" s="95"/>
      <c r="P59" s="95"/>
      <c r="R59" s="10" t="b">
        <f t="shared" si="19"/>
        <v>0</v>
      </c>
      <c r="S59" s="57" t="str">
        <f t="shared" si="20"/>
        <v/>
      </c>
      <c r="T59" s="119" t="str">
        <f t="shared" si="16"/>
        <v/>
      </c>
      <c r="U59" s="14" t="str">
        <f t="shared" si="17"/>
        <v/>
      </c>
      <c r="V59" s="10" t="str">
        <f t="shared" si="14"/>
        <v/>
      </c>
      <c r="W59" s="14" t="str">
        <f t="shared" si="4"/>
        <v/>
      </c>
      <c r="X59" s="10" t="str">
        <f t="shared" si="18"/>
        <v/>
      </c>
      <c r="Y59" s="14" t="str">
        <f t="shared" si="21"/>
        <v/>
      </c>
      <c r="Z59" s="14" t="str">
        <f t="shared" si="22"/>
        <v/>
      </c>
      <c r="AA59" s="63" t="str">
        <f t="shared" ca="1" si="23"/>
        <v xml:space="preserve"> </v>
      </c>
      <c r="AB59" s="220" t="str">
        <f t="shared" si="24"/>
        <v/>
      </c>
      <c r="AC59" s="14" t="str">
        <f t="shared" si="25"/>
        <v/>
      </c>
    </row>
    <row r="60" spans="2:29" x14ac:dyDescent="0.2">
      <c r="B60" s="117">
        <f t="shared" si="15"/>
        <v>36</v>
      </c>
      <c r="C60" s="5"/>
      <c r="D60" s="123"/>
      <c r="E60" s="123"/>
      <c r="F60" s="271"/>
      <c r="G60" s="246"/>
      <c r="H60" s="248"/>
      <c r="I60" s="249"/>
      <c r="J60" s="250"/>
      <c r="K60" s="129"/>
      <c r="L60" s="221" t="str">
        <f t="shared" si="11"/>
        <v/>
      </c>
      <c r="M60" s="222" t="str">
        <f t="shared" si="12"/>
        <v/>
      </c>
      <c r="N60" s="223" t="str">
        <f t="shared" si="13"/>
        <v/>
      </c>
      <c r="O60" s="95"/>
      <c r="P60" s="95"/>
      <c r="R60" s="10" t="b">
        <f t="shared" si="19"/>
        <v>0</v>
      </c>
      <c r="S60" s="57" t="str">
        <f t="shared" si="20"/>
        <v/>
      </c>
      <c r="T60" s="119" t="str">
        <f t="shared" si="16"/>
        <v/>
      </c>
      <c r="U60" s="14" t="str">
        <f t="shared" si="17"/>
        <v/>
      </c>
      <c r="V60" s="10" t="str">
        <f t="shared" si="14"/>
        <v/>
      </c>
      <c r="W60" s="14" t="str">
        <f t="shared" si="4"/>
        <v/>
      </c>
      <c r="X60" s="10" t="str">
        <f t="shared" si="18"/>
        <v/>
      </c>
      <c r="Y60" s="14" t="str">
        <f t="shared" si="21"/>
        <v/>
      </c>
      <c r="Z60" s="14" t="str">
        <f t="shared" si="22"/>
        <v/>
      </c>
      <c r="AA60" s="63" t="str">
        <f t="shared" ca="1" si="23"/>
        <v xml:space="preserve"> </v>
      </c>
      <c r="AB60" s="220" t="str">
        <f t="shared" si="24"/>
        <v/>
      </c>
      <c r="AC60" s="14" t="str">
        <f t="shared" si="25"/>
        <v/>
      </c>
    </row>
    <row r="61" spans="2:29" x14ac:dyDescent="0.2">
      <c r="B61" s="117">
        <f t="shared" si="15"/>
        <v>37</v>
      </c>
      <c r="C61" s="5"/>
      <c r="D61" s="123"/>
      <c r="E61" s="123"/>
      <c r="F61" s="271"/>
      <c r="G61" s="246"/>
      <c r="H61" s="248"/>
      <c r="I61" s="249"/>
      <c r="J61" s="250"/>
      <c r="K61" s="129"/>
      <c r="L61" s="221" t="str">
        <f t="shared" si="11"/>
        <v/>
      </c>
      <c r="M61" s="222" t="str">
        <f t="shared" si="12"/>
        <v/>
      </c>
      <c r="N61" s="223" t="str">
        <f t="shared" si="13"/>
        <v/>
      </c>
      <c r="O61" s="95"/>
      <c r="P61" s="95"/>
      <c r="R61" s="10" t="b">
        <f t="shared" si="19"/>
        <v>0</v>
      </c>
      <c r="S61" s="57" t="str">
        <f t="shared" si="20"/>
        <v/>
      </c>
      <c r="T61" s="119" t="str">
        <f t="shared" si="16"/>
        <v/>
      </c>
      <c r="U61" s="14" t="str">
        <f t="shared" si="17"/>
        <v/>
      </c>
      <c r="V61" s="10" t="str">
        <f t="shared" si="14"/>
        <v/>
      </c>
      <c r="W61" s="14" t="str">
        <f t="shared" si="4"/>
        <v/>
      </c>
      <c r="X61" s="10" t="str">
        <f t="shared" si="18"/>
        <v/>
      </c>
      <c r="Y61" s="14" t="str">
        <f t="shared" si="21"/>
        <v/>
      </c>
      <c r="Z61" s="14" t="str">
        <f t="shared" si="22"/>
        <v/>
      </c>
      <c r="AA61" s="63" t="str">
        <f t="shared" ca="1" si="23"/>
        <v xml:space="preserve"> </v>
      </c>
      <c r="AB61" s="220" t="str">
        <f t="shared" si="24"/>
        <v/>
      </c>
      <c r="AC61" s="14" t="str">
        <f t="shared" si="25"/>
        <v/>
      </c>
    </row>
    <row r="62" spans="2:29" x14ac:dyDescent="0.2">
      <c r="B62" s="117">
        <f t="shared" si="15"/>
        <v>38</v>
      </c>
      <c r="C62" s="5"/>
      <c r="D62" s="123"/>
      <c r="E62" s="123"/>
      <c r="F62" s="271"/>
      <c r="G62" s="246"/>
      <c r="H62" s="248"/>
      <c r="I62" s="249"/>
      <c r="J62" s="250"/>
      <c r="K62" s="129"/>
      <c r="L62" s="221" t="str">
        <f t="shared" si="11"/>
        <v/>
      </c>
      <c r="M62" s="222" t="str">
        <f t="shared" si="12"/>
        <v/>
      </c>
      <c r="N62" s="223" t="str">
        <f t="shared" si="13"/>
        <v/>
      </c>
      <c r="O62" s="95"/>
      <c r="P62" s="95"/>
      <c r="R62" s="10" t="b">
        <f t="shared" si="19"/>
        <v>0</v>
      </c>
      <c r="S62" s="57" t="str">
        <f t="shared" si="20"/>
        <v/>
      </c>
      <c r="T62" s="119" t="str">
        <f t="shared" si="16"/>
        <v/>
      </c>
      <c r="U62" s="14" t="str">
        <f t="shared" si="17"/>
        <v/>
      </c>
      <c r="V62" s="10" t="str">
        <f t="shared" si="14"/>
        <v/>
      </c>
      <c r="W62" s="14" t="str">
        <f t="shared" si="4"/>
        <v/>
      </c>
      <c r="X62" s="10" t="str">
        <f t="shared" si="18"/>
        <v/>
      </c>
      <c r="Y62" s="14" t="str">
        <f t="shared" si="21"/>
        <v/>
      </c>
      <c r="Z62" s="14" t="str">
        <f t="shared" si="22"/>
        <v/>
      </c>
      <c r="AA62" s="63" t="str">
        <f t="shared" ca="1" si="23"/>
        <v xml:space="preserve"> </v>
      </c>
      <c r="AB62" s="220" t="str">
        <f t="shared" si="24"/>
        <v/>
      </c>
      <c r="AC62" s="14" t="str">
        <f t="shared" si="25"/>
        <v/>
      </c>
    </row>
    <row r="63" spans="2:29" x14ac:dyDescent="0.2">
      <c r="B63" s="117">
        <f t="shared" si="15"/>
        <v>39</v>
      </c>
      <c r="C63" s="5"/>
      <c r="D63" s="123"/>
      <c r="E63" s="123"/>
      <c r="F63" s="271"/>
      <c r="G63" s="246"/>
      <c r="H63" s="248"/>
      <c r="I63" s="249"/>
      <c r="J63" s="250"/>
      <c r="K63" s="129"/>
      <c r="L63" s="221" t="str">
        <f t="shared" si="11"/>
        <v/>
      </c>
      <c r="M63" s="222" t="str">
        <f t="shared" si="12"/>
        <v/>
      </c>
      <c r="N63" s="223" t="str">
        <f t="shared" si="13"/>
        <v/>
      </c>
      <c r="O63" s="95"/>
      <c r="P63" s="95"/>
      <c r="R63" s="10" t="b">
        <f t="shared" si="19"/>
        <v>0</v>
      </c>
      <c r="S63" s="57" t="str">
        <f t="shared" si="20"/>
        <v/>
      </c>
      <c r="T63" s="119" t="str">
        <f t="shared" si="16"/>
        <v/>
      </c>
      <c r="U63" s="14" t="str">
        <f t="shared" si="17"/>
        <v/>
      </c>
      <c r="V63" s="10" t="str">
        <f t="shared" si="14"/>
        <v/>
      </c>
      <c r="W63" s="14" t="str">
        <f t="shared" si="4"/>
        <v/>
      </c>
      <c r="X63" s="10" t="str">
        <f t="shared" si="18"/>
        <v/>
      </c>
      <c r="Y63" s="14" t="str">
        <f t="shared" si="21"/>
        <v/>
      </c>
      <c r="Z63" s="14" t="str">
        <f t="shared" si="22"/>
        <v/>
      </c>
      <c r="AA63" s="63" t="str">
        <f t="shared" ca="1" si="23"/>
        <v xml:space="preserve"> </v>
      </c>
      <c r="AB63" s="220" t="str">
        <f t="shared" si="24"/>
        <v/>
      </c>
      <c r="AC63" s="14" t="str">
        <f t="shared" si="25"/>
        <v/>
      </c>
    </row>
    <row r="64" spans="2:29" x14ac:dyDescent="0.2">
      <c r="B64" s="117">
        <f t="shared" si="15"/>
        <v>40</v>
      </c>
      <c r="C64" s="5"/>
      <c r="D64" s="123"/>
      <c r="E64" s="123"/>
      <c r="F64" s="271"/>
      <c r="G64" s="246"/>
      <c r="H64" s="248"/>
      <c r="I64" s="249"/>
      <c r="J64" s="250"/>
      <c r="K64" s="129"/>
      <c r="L64" s="221" t="str">
        <f t="shared" si="11"/>
        <v/>
      </c>
      <c r="M64" s="222" t="str">
        <f t="shared" si="12"/>
        <v/>
      </c>
      <c r="N64" s="223" t="str">
        <f t="shared" si="13"/>
        <v/>
      </c>
      <c r="O64" s="95"/>
      <c r="P64" s="95"/>
      <c r="R64" s="10" t="b">
        <f t="shared" si="19"/>
        <v>0</v>
      </c>
      <c r="S64" s="57" t="str">
        <f t="shared" si="20"/>
        <v/>
      </c>
      <c r="T64" s="119" t="str">
        <f t="shared" si="16"/>
        <v/>
      </c>
      <c r="U64" s="14" t="str">
        <f t="shared" si="17"/>
        <v/>
      </c>
      <c r="V64" s="10" t="str">
        <f t="shared" si="14"/>
        <v/>
      </c>
      <c r="W64" s="14" t="str">
        <f t="shared" si="4"/>
        <v/>
      </c>
      <c r="X64" s="10" t="str">
        <f t="shared" si="18"/>
        <v/>
      </c>
      <c r="Y64" s="14" t="str">
        <f t="shared" si="21"/>
        <v/>
      </c>
      <c r="Z64" s="14" t="str">
        <f t="shared" si="22"/>
        <v/>
      </c>
      <c r="AA64" s="63" t="str">
        <f t="shared" ca="1" si="23"/>
        <v xml:space="preserve"> </v>
      </c>
      <c r="AB64" s="220" t="str">
        <f t="shared" si="24"/>
        <v/>
      </c>
      <c r="AC64" s="14" t="str">
        <f t="shared" si="25"/>
        <v/>
      </c>
    </row>
    <row r="65" spans="1:29" x14ac:dyDescent="0.2">
      <c r="B65" s="117">
        <f t="shared" si="15"/>
        <v>41</v>
      </c>
      <c r="C65" s="5"/>
      <c r="D65" s="123"/>
      <c r="E65" s="123"/>
      <c r="F65" s="271"/>
      <c r="G65" s="246"/>
      <c r="H65" s="248"/>
      <c r="I65" s="249"/>
      <c r="J65" s="250"/>
      <c r="K65" s="129"/>
      <c r="L65" s="221" t="str">
        <f t="shared" si="11"/>
        <v/>
      </c>
      <c r="M65" s="222" t="str">
        <f t="shared" si="12"/>
        <v/>
      </c>
      <c r="N65" s="223" t="str">
        <f t="shared" si="13"/>
        <v/>
      </c>
      <c r="O65" s="95"/>
      <c r="P65" s="95"/>
      <c r="R65" s="10" t="b">
        <f t="shared" si="19"/>
        <v>0</v>
      </c>
      <c r="S65" s="57" t="str">
        <f t="shared" si="20"/>
        <v/>
      </c>
      <c r="T65" s="119" t="str">
        <f t="shared" si="16"/>
        <v/>
      </c>
      <c r="U65" s="14" t="str">
        <f t="shared" si="17"/>
        <v/>
      </c>
      <c r="V65" s="10" t="str">
        <f t="shared" si="14"/>
        <v/>
      </c>
      <c r="W65" s="14" t="str">
        <f t="shared" si="4"/>
        <v/>
      </c>
      <c r="X65" s="10" t="str">
        <f t="shared" si="18"/>
        <v/>
      </c>
      <c r="Y65" s="14" t="str">
        <f t="shared" si="21"/>
        <v/>
      </c>
      <c r="Z65" s="14" t="str">
        <f t="shared" si="22"/>
        <v/>
      </c>
      <c r="AA65" s="63" t="str">
        <f t="shared" ca="1" si="23"/>
        <v xml:space="preserve"> </v>
      </c>
      <c r="AB65" s="220" t="str">
        <f t="shared" si="24"/>
        <v/>
      </c>
      <c r="AC65" s="14" t="str">
        <f t="shared" si="25"/>
        <v/>
      </c>
    </row>
    <row r="66" spans="1:29" x14ac:dyDescent="0.2">
      <c r="B66" s="117">
        <f t="shared" si="15"/>
        <v>42</v>
      </c>
      <c r="C66" s="5"/>
      <c r="D66" s="123"/>
      <c r="E66" s="123"/>
      <c r="F66" s="271"/>
      <c r="G66" s="246"/>
      <c r="H66" s="248"/>
      <c r="I66" s="249"/>
      <c r="J66" s="250"/>
      <c r="K66" s="129"/>
      <c r="L66" s="221" t="str">
        <f t="shared" si="11"/>
        <v/>
      </c>
      <c r="M66" s="222" t="str">
        <f t="shared" si="12"/>
        <v/>
      </c>
      <c r="N66" s="223" t="str">
        <f t="shared" si="13"/>
        <v/>
      </c>
      <c r="O66" s="95"/>
      <c r="P66" s="95"/>
      <c r="R66" s="10" t="b">
        <f t="shared" si="19"/>
        <v>0</v>
      </c>
      <c r="S66" s="57" t="str">
        <f t="shared" si="20"/>
        <v/>
      </c>
      <c r="T66" s="119" t="str">
        <f t="shared" si="16"/>
        <v/>
      </c>
      <c r="U66" s="14" t="str">
        <f t="shared" si="17"/>
        <v/>
      </c>
      <c r="V66" s="10" t="str">
        <f t="shared" si="14"/>
        <v/>
      </c>
      <c r="W66" s="14" t="str">
        <f t="shared" si="4"/>
        <v/>
      </c>
      <c r="X66" s="10" t="str">
        <f t="shared" si="18"/>
        <v/>
      </c>
      <c r="Y66" s="14" t="str">
        <f t="shared" si="21"/>
        <v/>
      </c>
      <c r="Z66" s="14" t="str">
        <f t="shared" si="22"/>
        <v/>
      </c>
      <c r="AA66" s="63" t="str">
        <f t="shared" ca="1" si="23"/>
        <v xml:space="preserve"> </v>
      </c>
      <c r="AB66" s="220" t="str">
        <f t="shared" si="24"/>
        <v/>
      </c>
      <c r="AC66" s="14" t="str">
        <f t="shared" si="25"/>
        <v/>
      </c>
    </row>
    <row r="67" spans="1:29" x14ac:dyDescent="0.2">
      <c r="B67" s="117">
        <f t="shared" si="15"/>
        <v>43</v>
      </c>
      <c r="C67" s="5"/>
      <c r="D67" s="123"/>
      <c r="E67" s="123"/>
      <c r="F67" s="271"/>
      <c r="G67" s="246"/>
      <c r="H67" s="248"/>
      <c r="I67" s="249"/>
      <c r="J67" s="250"/>
      <c r="K67" s="129"/>
      <c r="L67" s="221" t="str">
        <f t="shared" si="11"/>
        <v/>
      </c>
      <c r="M67" s="222" t="str">
        <f t="shared" si="12"/>
        <v/>
      </c>
      <c r="N67" s="223" t="str">
        <f t="shared" si="13"/>
        <v/>
      </c>
      <c r="O67" s="95"/>
      <c r="P67" s="95"/>
      <c r="R67" s="10" t="b">
        <f t="shared" si="19"/>
        <v>0</v>
      </c>
      <c r="S67" s="57" t="str">
        <f t="shared" si="20"/>
        <v/>
      </c>
      <c r="T67" s="119" t="str">
        <f t="shared" si="16"/>
        <v/>
      </c>
      <c r="U67" s="14" t="str">
        <f t="shared" si="17"/>
        <v/>
      </c>
      <c r="V67" s="10" t="str">
        <f t="shared" si="14"/>
        <v/>
      </c>
      <c r="W67" s="14" t="str">
        <f t="shared" si="4"/>
        <v/>
      </c>
      <c r="X67" s="10" t="str">
        <f t="shared" si="18"/>
        <v/>
      </c>
      <c r="Y67" s="14" t="str">
        <f t="shared" si="21"/>
        <v/>
      </c>
      <c r="Z67" s="14" t="str">
        <f t="shared" si="22"/>
        <v/>
      </c>
      <c r="AA67" s="63" t="str">
        <f t="shared" ca="1" si="23"/>
        <v xml:space="preserve"> </v>
      </c>
      <c r="AB67" s="220" t="str">
        <f t="shared" si="24"/>
        <v/>
      </c>
      <c r="AC67" s="14" t="str">
        <f t="shared" si="25"/>
        <v/>
      </c>
    </row>
    <row r="68" spans="1:29" x14ac:dyDescent="0.2">
      <c r="B68" s="117">
        <f t="shared" si="15"/>
        <v>44</v>
      </c>
      <c r="C68" s="5"/>
      <c r="D68" s="123"/>
      <c r="E68" s="123"/>
      <c r="F68" s="271"/>
      <c r="G68" s="246"/>
      <c r="H68" s="248"/>
      <c r="I68" s="249"/>
      <c r="J68" s="250"/>
      <c r="K68" s="129"/>
      <c r="L68" s="221" t="str">
        <f t="shared" si="11"/>
        <v/>
      </c>
      <c r="M68" s="222" t="str">
        <f t="shared" si="12"/>
        <v/>
      </c>
      <c r="N68" s="223" t="str">
        <f t="shared" si="13"/>
        <v/>
      </c>
      <c r="O68" s="95"/>
      <c r="P68" s="95"/>
      <c r="R68" s="10" t="b">
        <f t="shared" si="19"/>
        <v>0</v>
      </c>
      <c r="S68" s="57" t="str">
        <f t="shared" si="20"/>
        <v/>
      </c>
      <c r="T68" s="119" t="str">
        <f t="shared" si="16"/>
        <v/>
      </c>
      <c r="U68" s="14" t="str">
        <f t="shared" si="17"/>
        <v/>
      </c>
      <c r="V68" s="10" t="str">
        <f t="shared" si="14"/>
        <v/>
      </c>
      <c r="W68" s="14" t="str">
        <f t="shared" si="4"/>
        <v/>
      </c>
      <c r="X68" s="10" t="str">
        <f t="shared" si="18"/>
        <v/>
      </c>
      <c r="Y68" s="14" t="str">
        <f t="shared" si="21"/>
        <v/>
      </c>
      <c r="Z68" s="14" t="str">
        <f t="shared" si="22"/>
        <v/>
      </c>
      <c r="AA68" s="63" t="str">
        <f t="shared" ca="1" si="23"/>
        <v xml:space="preserve"> </v>
      </c>
      <c r="AB68" s="220" t="str">
        <f t="shared" si="24"/>
        <v/>
      </c>
      <c r="AC68" s="14" t="str">
        <f t="shared" si="25"/>
        <v/>
      </c>
    </row>
    <row r="69" spans="1:29" x14ac:dyDescent="0.2">
      <c r="B69" s="117">
        <f t="shared" si="15"/>
        <v>45</v>
      </c>
      <c r="C69" s="5"/>
      <c r="D69" s="123"/>
      <c r="E69" s="123"/>
      <c r="F69" s="271"/>
      <c r="G69" s="246"/>
      <c r="H69" s="248"/>
      <c r="I69" s="249"/>
      <c r="J69" s="250"/>
      <c r="K69" s="129"/>
      <c r="L69" s="221" t="str">
        <f t="shared" si="11"/>
        <v/>
      </c>
      <c r="M69" s="222" t="str">
        <f t="shared" si="12"/>
        <v/>
      </c>
      <c r="N69" s="223" t="str">
        <f t="shared" si="13"/>
        <v/>
      </c>
      <c r="O69" s="95"/>
      <c r="P69" s="95"/>
      <c r="R69" s="10" t="b">
        <f t="shared" si="19"/>
        <v>0</v>
      </c>
      <c r="S69" s="57" t="str">
        <f t="shared" si="20"/>
        <v/>
      </c>
      <c r="T69" s="119" t="str">
        <f t="shared" si="16"/>
        <v/>
      </c>
      <c r="U69" s="14" t="str">
        <f t="shared" si="17"/>
        <v/>
      </c>
      <c r="V69" s="10" t="str">
        <f t="shared" si="14"/>
        <v/>
      </c>
      <c r="W69" s="14" t="str">
        <f t="shared" si="4"/>
        <v/>
      </c>
      <c r="X69" s="10" t="str">
        <f t="shared" si="18"/>
        <v/>
      </c>
      <c r="Y69" s="14" t="str">
        <f t="shared" si="21"/>
        <v/>
      </c>
      <c r="Z69" s="14" t="str">
        <f t="shared" si="22"/>
        <v/>
      </c>
      <c r="AA69" s="63" t="str">
        <f t="shared" ca="1" si="23"/>
        <v xml:space="preserve"> </v>
      </c>
      <c r="AB69" s="220" t="str">
        <f t="shared" si="24"/>
        <v/>
      </c>
      <c r="AC69" s="14" t="str">
        <f t="shared" si="25"/>
        <v/>
      </c>
    </row>
    <row r="70" spans="1:29" x14ac:dyDescent="0.2">
      <c r="B70" s="117">
        <f t="shared" si="15"/>
        <v>46</v>
      </c>
      <c r="C70" s="5"/>
      <c r="D70" s="123"/>
      <c r="E70" s="123"/>
      <c r="F70" s="271"/>
      <c r="G70" s="246"/>
      <c r="H70" s="248"/>
      <c r="I70" s="249"/>
      <c r="J70" s="250"/>
      <c r="K70" s="129"/>
      <c r="L70" s="221" t="str">
        <f t="shared" si="11"/>
        <v/>
      </c>
      <c r="M70" s="222" t="str">
        <f t="shared" si="12"/>
        <v/>
      </c>
      <c r="N70" s="223" t="str">
        <f t="shared" si="13"/>
        <v/>
      </c>
      <c r="O70" s="95"/>
      <c r="P70" s="95"/>
      <c r="R70" s="10" t="b">
        <f t="shared" si="19"/>
        <v>0</v>
      </c>
      <c r="S70" s="57" t="str">
        <f t="shared" si="20"/>
        <v/>
      </c>
      <c r="T70" s="119" t="str">
        <f t="shared" si="16"/>
        <v/>
      </c>
      <c r="U70" s="14" t="str">
        <f t="shared" si="17"/>
        <v/>
      </c>
      <c r="V70" s="10" t="str">
        <f t="shared" si="14"/>
        <v/>
      </c>
      <c r="W70" s="14" t="str">
        <f t="shared" si="4"/>
        <v/>
      </c>
      <c r="X70" s="10" t="str">
        <f t="shared" si="18"/>
        <v/>
      </c>
      <c r="Y70" s="14" t="str">
        <f t="shared" si="21"/>
        <v/>
      </c>
      <c r="Z70" s="14" t="str">
        <f t="shared" si="22"/>
        <v/>
      </c>
      <c r="AA70" s="63" t="str">
        <f t="shared" ca="1" si="23"/>
        <v xml:space="preserve"> </v>
      </c>
      <c r="AB70" s="220" t="str">
        <f t="shared" si="24"/>
        <v/>
      </c>
      <c r="AC70" s="14" t="str">
        <f t="shared" si="25"/>
        <v/>
      </c>
    </row>
    <row r="71" spans="1:29" x14ac:dyDescent="0.2">
      <c r="B71" s="117">
        <f t="shared" si="15"/>
        <v>47</v>
      </c>
      <c r="C71" s="5"/>
      <c r="D71" s="123"/>
      <c r="E71" s="123"/>
      <c r="F71" s="271"/>
      <c r="G71" s="246"/>
      <c r="H71" s="248"/>
      <c r="I71" s="249"/>
      <c r="J71" s="250"/>
      <c r="K71" s="129"/>
      <c r="L71" s="221" t="str">
        <f t="shared" si="11"/>
        <v/>
      </c>
      <c r="M71" s="222" t="str">
        <f t="shared" si="12"/>
        <v/>
      </c>
      <c r="N71" s="223" t="str">
        <f t="shared" si="13"/>
        <v/>
      </c>
      <c r="O71" s="95"/>
      <c r="P71" s="95"/>
      <c r="R71" s="10" t="b">
        <f t="shared" si="19"/>
        <v>0</v>
      </c>
      <c r="S71" s="57" t="str">
        <f t="shared" si="20"/>
        <v/>
      </c>
      <c r="T71" s="119" t="str">
        <f t="shared" si="16"/>
        <v/>
      </c>
      <c r="U71" s="14" t="str">
        <f t="shared" si="17"/>
        <v/>
      </c>
      <c r="V71" s="10" t="str">
        <f t="shared" si="14"/>
        <v/>
      </c>
      <c r="W71" s="14" t="str">
        <f t="shared" si="4"/>
        <v/>
      </c>
      <c r="X71" s="10" t="str">
        <f t="shared" si="18"/>
        <v/>
      </c>
      <c r="Y71" s="14" t="str">
        <f t="shared" si="21"/>
        <v/>
      </c>
      <c r="Z71" s="14" t="str">
        <f t="shared" si="22"/>
        <v/>
      </c>
      <c r="AA71" s="63" t="str">
        <f t="shared" ca="1" si="23"/>
        <v xml:space="preserve"> </v>
      </c>
      <c r="AB71" s="220" t="str">
        <f t="shared" si="24"/>
        <v/>
      </c>
      <c r="AC71" s="14" t="str">
        <f t="shared" si="25"/>
        <v/>
      </c>
    </row>
    <row r="72" spans="1:29" x14ac:dyDescent="0.2">
      <c r="B72" s="117">
        <f t="shared" si="15"/>
        <v>48</v>
      </c>
      <c r="C72" s="5"/>
      <c r="D72" s="123"/>
      <c r="E72" s="123"/>
      <c r="F72" s="271"/>
      <c r="G72" s="246"/>
      <c r="H72" s="248"/>
      <c r="I72" s="249"/>
      <c r="J72" s="250"/>
      <c r="K72" s="129"/>
      <c r="L72" s="221" t="str">
        <f t="shared" si="11"/>
        <v/>
      </c>
      <c r="M72" s="222" t="str">
        <f t="shared" si="12"/>
        <v/>
      </c>
      <c r="N72" s="223" t="str">
        <f t="shared" si="13"/>
        <v/>
      </c>
      <c r="O72" s="95"/>
      <c r="P72" s="95"/>
      <c r="R72" s="10" t="b">
        <f t="shared" si="19"/>
        <v>0</v>
      </c>
      <c r="S72" s="57" t="str">
        <f t="shared" si="20"/>
        <v/>
      </c>
      <c r="T72" s="119" t="str">
        <f t="shared" si="16"/>
        <v/>
      </c>
      <c r="U72" s="14" t="str">
        <f t="shared" si="17"/>
        <v/>
      </c>
      <c r="V72" s="10" t="str">
        <f t="shared" si="14"/>
        <v/>
      </c>
      <c r="W72" s="14" t="str">
        <f t="shared" si="4"/>
        <v/>
      </c>
      <c r="X72" s="10" t="str">
        <f t="shared" si="18"/>
        <v/>
      </c>
      <c r="Y72" s="14" t="str">
        <f t="shared" si="21"/>
        <v/>
      </c>
      <c r="Z72" s="14" t="str">
        <f t="shared" si="22"/>
        <v/>
      </c>
      <c r="AA72" s="63" t="str">
        <f t="shared" ca="1" si="23"/>
        <v xml:space="preserve"> </v>
      </c>
      <c r="AB72" s="220" t="str">
        <f t="shared" si="24"/>
        <v/>
      </c>
      <c r="AC72" s="14" t="str">
        <f t="shared" si="25"/>
        <v/>
      </c>
    </row>
    <row r="73" spans="1:29" x14ac:dyDescent="0.2">
      <c r="B73" s="118">
        <f t="shared" si="15"/>
        <v>49</v>
      </c>
      <c r="C73" s="113"/>
      <c r="D73" s="124"/>
      <c r="E73" s="124"/>
      <c r="F73" s="271"/>
      <c r="G73" s="246"/>
      <c r="H73" s="248"/>
      <c r="I73" s="249"/>
      <c r="J73" s="250"/>
      <c r="K73" s="129"/>
      <c r="L73" s="221" t="str">
        <f t="shared" si="11"/>
        <v/>
      </c>
      <c r="M73" s="222" t="str">
        <f t="shared" si="12"/>
        <v/>
      </c>
      <c r="N73" s="223" t="str">
        <f t="shared" si="13"/>
        <v/>
      </c>
      <c r="O73" s="95"/>
      <c r="P73" s="95"/>
      <c r="R73" s="10" t="b">
        <f t="shared" si="19"/>
        <v>0</v>
      </c>
      <c r="S73" s="57" t="str">
        <f t="shared" si="20"/>
        <v/>
      </c>
      <c r="T73" s="119" t="str">
        <f t="shared" si="16"/>
        <v/>
      </c>
      <c r="U73" s="14" t="str">
        <f t="shared" si="17"/>
        <v/>
      </c>
      <c r="V73" s="10" t="str">
        <f t="shared" si="14"/>
        <v/>
      </c>
      <c r="W73" s="14" t="str">
        <f t="shared" si="4"/>
        <v/>
      </c>
      <c r="X73" s="10" t="str">
        <f t="shared" si="18"/>
        <v/>
      </c>
      <c r="Y73" s="14" t="str">
        <f t="shared" si="21"/>
        <v/>
      </c>
      <c r="Z73" s="14" t="str">
        <f t="shared" si="22"/>
        <v/>
      </c>
      <c r="AA73" s="63" t="str">
        <f t="shared" ca="1" si="23"/>
        <v xml:space="preserve"> </v>
      </c>
      <c r="AB73" s="220" t="str">
        <f t="shared" si="24"/>
        <v/>
      </c>
      <c r="AC73" s="14" t="str">
        <f t="shared" si="25"/>
        <v/>
      </c>
    </row>
    <row r="74" spans="1:29" ht="16" thickBot="1" x14ac:dyDescent="0.25">
      <c r="B74" s="114">
        <f t="shared" si="15"/>
        <v>50</v>
      </c>
      <c r="C74" s="115"/>
      <c r="D74" s="125"/>
      <c r="E74" s="125"/>
      <c r="F74" s="292"/>
      <c r="G74" s="247"/>
      <c r="H74" s="251"/>
      <c r="I74" s="252"/>
      <c r="J74" s="253"/>
      <c r="K74" s="130"/>
      <c r="L74" s="224" t="str">
        <f t="shared" si="11"/>
        <v/>
      </c>
      <c r="M74" s="225" t="str">
        <f t="shared" si="12"/>
        <v/>
      </c>
      <c r="N74" s="226" t="str">
        <f t="shared" si="13"/>
        <v/>
      </c>
      <c r="O74" s="95"/>
      <c r="P74" s="95"/>
      <c r="R74" s="10" t="b">
        <f t="shared" si="19"/>
        <v>0</v>
      </c>
      <c r="S74" s="57" t="str">
        <f t="shared" si="20"/>
        <v/>
      </c>
      <c r="T74" s="119" t="str">
        <f t="shared" si="16"/>
        <v/>
      </c>
      <c r="U74" s="14" t="str">
        <f t="shared" si="17"/>
        <v/>
      </c>
      <c r="V74" s="10" t="str">
        <f t="shared" si="14"/>
        <v/>
      </c>
      <c r="W74" s="14" t="str">
        <f t="shared" si="4"/>
        <v/>
      </c>
      <c r="X74" s="10" t="str">
        <f t="shared" si="18"/>
        <v/>
      </c>
      <c r="Y74" s="14" t="str">
        <f t="shared" si="21"/>
        <v/>
      </c>
      <c r="Z74" s="14" t="str">
        <f t="shared" si="22"/>
        <v/>
      </c>
      <c r="AA74" s="63" t="str">
        <f t="shared" ca="1" si="23"/>
        <v xml:space="preserve"> </v>
      </c>
      <c r="AB74" s="220" t="str">
        <f t="shared" si="24"/>
        <v/>
      </c>
      <c r="AC74" s="14" t="str">
        <f t="shared" si="25"/>
        <v/>
      </c>
    </row>
    <row r="75" spans="1:29" ht="16" thickTop="1" x14ac:dyDescent="0.2">
      <c r="B75" s="100"/>
      <c r="C75" s="106"/>
      <c r="D75" s="105"/>
      <c r="E75" s="105"/>
      <c r="F75" s="107"/>
      <c r="G75" s="14"/>
      <c r="I75" s="14"/>
      <c r="J75" s="14"/>
      <c r="K75" s="108"/>
      <c r="L75" s="105"/>
      <c r="N75" s="95"/>
      <c r="O75" s="95"/>
      <c r="P75" s="95"/>
      <c r="Q75" s="95"/>
    </row>
    <row r="76" spans="1:29" ht="16" x14ac:dyDescent="0.2">
      <c r="A76" s="110"/>
      <c r="B76" s="110"/>
      <c r="C76" s="109" t="str">
        <f>Selecties!B72</f>
        <v>Mail Inschrijf formulier voor 03-nov-2024</v>
      </c>
      <c r="D76" s="111"/>
      <c r="E76" s="111"/>
      <c r="F76" s="111"/>
      <c r="G76" s="131" t="str">
        <f>Selectie_mail</f>
        <v xml:space="preserve">info@taekyonberghem.nl </v>
      </c>
      <c r="H76" s="111"/>
      <c r="I76" s="111"/>
      <c r="J76" s="111"/>
      <c r="K76" s="112" t="str">
        <f>Selectie_copyright</f>
        <v>Copyright © 2024 Taekyon Berghem</v>
      </c>
      <c r="L76" s="111"/>
      <c r="M76" s="111"/>
      <c r="N76" s="111"/>
      <c r="O76" s="111"/>
      <c r="P76" s="14"/>
      <c r="Q76" s="14"/>
    </row>
  </sheetData>
  <sheetProtection algorithmName="SHA-512" hashValue="qerav38yQLE+O6D/cRSx238AKKWW/A1RLmKwwp0AWDmgalvoxEwVwLgV4Pd834h3FWs6Iqz7cBZP+Xi63BWE1g==" saltValue="mkSLmO6sPYGgvnjibxgiPA==" spinCount="100000" sheet="1" objects="1" selectLockedCells="1"/>
  <dataConsolidate/>
  <mergeCells count="45">
    <mergeCell ref="J4:L4"/>
    <mergeCell ref="F4:G4"/>
    <mergeCell ref="F5:G5"/>
    <mergeCell ref="F6:G6"/>
    <mergeCell ref="B21:C21"/>
    <mergeCell ref="D21:E21"/>
    <mergeCell ref="G21:I21"/>
    <mergeCell ref="B14:C14"/>
    <mergeCell ref="B13:C13"/>
    <mergeCell ref="B17:C17"/>
    <mergeCell ref="B20:C20"/>
    <mergeCell ref="B15:C15"/>
    <mergeCell ref="B16:C16"/>
    <mergeCell ref="N23:N24"/>
    <mergeCell ref="C7:D7"/>
    <mergeCell ref="F7:G7"/>
    <mergeCell ref="C5:D5"/>
    <mergeCell ref="C6:D6"/>
    <mergeCell ref="G16:I16"/>
    <mergeCell ref="B18:C18"/>
    <mergeCell ref="D18:E18"/>
    <mergeCell ref="G18:I18"/>
    <mergeCell ref="B19:C19"/>
    <mergeCell ref="D19:E19"/>
    <mergeCell ref="G19:I19"/>
    <mergeCell ref="B23:B24"/>
    <mergeCell ref="C23:C24"/>
    <mergeCell ref="D23:D24"/>
    <mergeCell ref="M23:M24"/>
    <mergeCell ref="L23:L24"/>
    <mergeCell ref="E23:E24"/>
    <mergeCell ref="F9:G9"/>
    <mergeCell ref="F8:G8"/>
    <mergeCell ref="F10:G10"/>
    <mergeCell ref="F11:G11"/>
    <mergeCell ref="G15:I15"/>
    <mergeCell ref="D15:E15"/>
    <mergeCell ref="G17:I17"/>
    <mergeCell ref="D17:E17"/>
    <mergeCell ref="G14:I14"/>
    <mergeCell ref="D14:E14"/>
    <mergeCell ref="G13:I13"/>
    <mergeCell ref="D13:E13"/>
    <mergeCell ref="D20:E20"/>
    <mergeCell ref="G20:I20"/>
  </mergeCells>
  <conditionalFormatting sqref="D13:E15 G13:I15">
    <cfRule type="expression" dxfId="16" priority="84">
      <formula>COUNTA(D$13:D$15)=3</formula>
    </cfRule>
  </conditionalFormatting>
  <conditionalFormatting sqref="D17:E17">
    <cfRule type="expression" dxfId="15" priority="75">
      <formula>AND($Y$14&lt;1,D17&lt;&gt;"")</formula>
    </cfRule>
    <cfRule type="expression" dxfId="14" priority="76">
      <formula>AND($Y$14&gt;=1,D17&lt;&gt;"")</formula>
    </cfRule>
  </conditionalFormatting>
  <conditionalFormatting sqref="D18:E18">
    <cfRule type="expression" dxfId="13" priority="77">
      <formula>AND($Y$14&lt;2,D18&lt;&gt;"")</formula>
    </cfRule>
    <cfRule type="expression" dxfId="12" priority="78">
      <formula>AND($Y$14&gt;=2,D18&lt;&gt;"")</formula>
    </cfRule>
  </conditionalFormatting>
  <conditionalFormatting sqref="D19:E19">
    <cfRule type="expression" dxfId="11" priority="79">
      <formula>AND($Y$14&lt;3,D19&lt;&gt;"")</formula>
    </cfRule>
    <cfRule type="expression" dxfId="10" priority="80">
      <formula>AND($Y$14&gt;=3,D19&lt;&gt;"")</formula>
    </cfRule>
  </conditionalFormatting>
  <conditionalFormatting sqref="D20:E20 D21">
    <cfRule type="expression" dxfId="9" priority="7">
      <formula>AND($Y$14&lt;5,D20&lt;&gt;"")</formula>
    </cfRule>
    <cfRule type="expression" dxfId="8" priority="8">
      <formula>AND($Y$14&gt;=5,D20&lt;&gt;"")</formula>
    </cfRule>
  </conditionalFormatting>
  <conditionalFormatting sqref="G17:I20 G21">
    <cfRule type="expression" dxfId="7" priority="2">
      <formula>AND($U$14&gt;$T$14,G17="")</formula>
    </cfRule>
  </conditionalFormatting>
  <conditionalFormatting sqref="G17:M20 G21 J21:M21">
    <cfRule type="expression" dxfId="6" priority="3">
      <formula>G17&lt;&gt;""</formula>
    </cfRule>
  </conditionalFormatting>
  <conditionalFormatting sqref="I25:J74">
    <cfRule type="expression" dxfId="5" priority="9">
      <formula>AND($I$25="Nee",$J25="Nee")</formula>
    </cfRule>
  </conditionalFormatting>
  <conditionalFormatting sqref="J17:K21">
    <cfRule type="expression" dxfId="4" priority="6">
      <formula>AND($U$14&gt;$T$14,$G17="")</formula>
    </cfRule>
    <cfRule type="expression" dxfId="3" priority="5">
      <formula>AND($G17&lt;&gt;"",J17="")</formula>
    </cfRule>
  </conditionalFormatting>
  <dataValidations count="10">
    <dataValidation type="list" allowBlank="1" showInputMessage="1" showErrorMessage="1" errorTitle="Onbekend gewicht aanduiding." error="Selecteer a weigth from the list." sqref="K75" xr:uid="{00000000-0002-0000-0000-000003000000}">
      <formula1>Selectie_Gewicht</formula1>
    </dataValidation>
    <dataValidation type="list" allowBlank="1" showInputMessage="1" showErrorMessage="1" errorTitle="Onbekende invoer." error="Select answer from the list." sqref="I75:J75" xr:uid="{00000000-0002-0000-0000-000004000000}">
      <formula1>Selectie_JN</formula1>
    </dataValidation>
    <dataValidation type="list" allowBlank="1" showInputMessage="1" showErrorMessage="1" errorTitle="Onbekende graduatie." error="Select graduation from the list" sqref="H75" xr:uid="{00000000-0002-0000-0000-000005000000}">
      <formula1>Selectie_graduatie_deelnemers</formula1>
    </dataValidation>
    <dataValidation type="list" allowBlank="1" showErrorMessage="1" errorTitle="Onbekende invoer." error="Select gender from the list." sqref="G75" xr:uid="{00000000-0002-0000-0000-000006000000}">
      <formula1>Selectie_Geslacht</formula1>
    </dataValidation>
    <dataValidation type="list" allowBlank="1" showInputMessage="1" showErrorMessage="1" errorTitle="Unknown input." error="Selecteer de gradatie uit de lijst._x000a_Select graduation from the list." sqref="H25:H74" xr:uid="{78D068DD-4DE1-47A5-8D09-438063F30408}">
      <formula1>Selectie_graduatie_deelnemers</formula1>
    </dataValidation>
    <dataValidation type="list" allowBlank="1" showInputMessage="1" showErrorMessage="1" errorTitle="Unknown input." error="Select het antwoord uit de lijst._x000a_Select answer from the list." sqref="I25:J74" xr:uid="{18520E91-AAC9-4B53-87C5-D855C1C21968}">
      <formula1>Selectie_JN</formula1>
    </dataValidation>
    <dataValidation type="list" allowBlank="1" showErrorMessage="1" errorTitle="Unknown input." error="Selecteer het geslacht uit de lijst._x000a_Select Gender from the list." sqref="G25:G74" xr:uid="{A105D690-F5F3-41DE-A354-723DF2B98C97}">
      <formula1>Selectie_Geslacht</formula1>
    </dataValidation>
    <dataValidation type="list" allowBlank="1" showErrorMessage="1" errorTitle="Onbekende voorkeur" error="Selecteer een voorkeur uit de lijst." sqref="M17:M21" xr:uid="{00000000-0002-0000-0000-000000000000}">
      <formula1>Selectie_Voorkeur</formula1>
    </dataValidation>
    <dataValidation type="list" allowBlank="1" showErrorMessage="1" errorTitle="Onbekende Licentie" error="Selecteer een licentie uit de lijst." sqref="K17:K21" xr:uid="{00000000-0002-0000-0000-000001000000}">
      <formula1>Selectie_Licentie</formula1>
    </dataValidation>
    <dataValidation type="list" allowBlank="1" showErrorMessage="1" errorTitle="Onbekende gradatie." error="Selecteer een gradatie uit de lijst." prompt="Selecteer een graduatie uit de lijst." sqref="J17:J21" xr:uid="{00000000-0002-0000-0000-000002000000}">
      <formula1>Selectie_graduatie_scheids</formula1>
    </dataValidation>
  </dataValidations>
  <hyperlinks>
    <hyperlink ref="K76" r:id="rId1" tooltip="Taekyon Berghem" display="http://www.taekyonberghem.nl/" xr:uid="{00000000-0004-0000-0000-000000000000}"/>
    <hyperlink ref="C7" r:id="rId2" xr:uid="{00000000-0004-0000-0000-000001000000}"/>
    <hyperlink ref="G76" r:id="rId3" display="info@taekyonberghem.nl " xr:uid="{8997FD0D-E4A8-4AF4-939A-7050F8DB1610}"/>
  </hyperlinks>
  <pageMargins left="0.7" right="0.7" top="0.75" bottom="0.75" header="0.3" footer="0.3"/>
  <pageSetup paperSize="9" orientation="portrait" r:id="rId4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189CD9DA-EC4B-4480-B768-5B574D05CDB6}">
            <xm:f>AND($C25&lt;&gt;"",COUNTA($E25:$J25)=6,OR( AND($J25=Selecties!$O$9,$K25&lt;&gt;""), $J25=Selecties!$O$10))</xm:f>
            <x14:dxf>
              <fill>
                <patternFill>
                  <bgColor rgb="FFCCFFCC"/>
                </patternFill>
              </fill>
            </x14:dxf>
          </x14:cfRule>
          <xm:sqref>C25:K74</xm:sqref>
        </x14:conditionalFormatting>
        <x14:conditionalFormatting xmlns:xm="http://schemas.microsoft.com/office/excel/2006/main">
          <x14:cfRule type="expression" priority="18" id="{C46948F3-1373-4A7A-BEF2-E05ECB752C3A}">
            <xm:f>AND($J25=Selecties!$O$9,$K25="")</xm:f>
            <x14:dxf>
              <fill>
                <patternFill>
                  <bgColor rgb="FFFFC000"/>
                </patternFill>
              </fill>
            </x14:dxf>
          </x14:cfRule>
          <xm:sqref>K25:K74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Title="Onbekend gewicht aanduiding." error="Voer een geheel getal in tusse 15 en 120._x000a_Dus niet b.v. 27,5 maar 27 of 28." xr:uid="{00000000-0002-0000-0000-00000B000000}">
          <x14:formula1>
            <xm:f>Selecties!$C$146</xm:f>
          </x14:formula1>
          <x14:formula2>
            <xm:f>Selecties!$C$147</xm:f>
          </x14:formula2>
          <xm:sqref>K25:K74</xm:sqref>
        </x14:dataValidation>
        <x14:dataValidation type="date" allowBlank="1" showErrorMessage="1" errorTitle="Foutive datum" error="Vul juiste datum in." xr:uid="{28091241-5DAB-4219-BABC-55C7793F1463}">
          <x14:formula1>
            <xm:f>Selecties!$L$104</xm:f>
          </x14:formula1>
          <x14:formula2>
            <xm:f>Selecties!$L$103</xm:f>
          </x14:formula2>
          <xm:sqref>F25:F74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Z211"/>
  <sheetViews>
    <sheetView topLeftCell="A95" workbookViewId="0">
      <selection activeCell="H8" sqref="H8"/>
    </sheetView>
  </sheetViews>
  <sheetFormatPr baseColWidth="10" defaultColWidth="8.83203125" defaultRowHeight="15" x14ac:dyDescent="0.2"/>
  <cols>
    <col min="8" max="8" width="10.5" bestFit="1" customWidth="1"/>
    <col min="11" max="11" width="9.5" bestFit="1" customWidth="1"/>
    <col min="12" max="12" width="10.33203125" bestFit="1" customWidth="1"/>
    <col min="16" max="16" width="9.5" style="6" bestFit="1" customWidth="1"/>
    <col min="17" max="17" width="36.6640625" bestFit="1" customWidth="1"/>
    <col min="18" max="22" width="6.6640625" style="6" customWidth="1"/>
    <col min="23" max="23" width="9.5" bestFit="1" customWidth="1"/>
  </cols>
  <sheetData>
    <row r="1" spans="1:2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4"/>
      <c r="Q1" s="10"/>
    </row>
    <row r="2" spans="1:21" ht="21" x14ac:dyDescent="0.25">
      <c r="B2" s="137" t="s">
        <v>128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4"/>
      <c r="Q2" s="10"/>
    </row>
    <row r="3" spans="1:2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4"/>
      <c r="Q3" s="10"/>
    </row>
    <row r="4" spans="1:21" x14ac:dyDescent="0.2">
      <c r="A4" s="10"/>
      <c r="B4" s="10" t="s">
        <v>126</v>
      </c>
      <c r="C4" s="133" t="s">
        <v>124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4"/>
      <c r="Q4" s="10"/>
    </row>
    <row r="5" spans="1:21" x14ac:dyDescent="0.2">
      <c r="A5" s="10"/>
      <c r="B5" s="10" t="s">
        <v>127</v>
      </c>
      <c r="C5" s="10" t="s">
        <v>325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4"/>
      <c r="Q5" s="10"/>
    </row>
    <row r="6" spans="1:2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4"/>
      <c r="Q6" s="10"/>
    </row>
    <row r="7" spans="1:21" x14ac:dyDescent="0.2">
      <c r="A7" s="10"/>
      <c r="B7" s="375" t="s">
        <v>59</v>
      </c>
      <c r="C7" s="372"/>
      <c r="D7" s="375" t="s">
        <v>125</v>
      </c>
      <c r="E7" s="372"/>
      <c r="F7" s="10"/>
      <c r="G7" s="339" t="s">
        <v>264</v>
      </c>
      <c r="H7" s="378"/>
      <c r="J7" s="375" t="s">
        <v>266</v>
      </c>
      <c r="K7" s="372"/>
      <c r="L7" s="375" t="s">
        <v>267</v>
      </c>
      <c r="M7" s="372"/>
      <c r="O7" s="231" t="s">
        <v>268</v>
      </c>
      <c r="P7" s="233" t="b">
        <v>1</v>
      </c>
      <c r="R7" s="10"/>
      <c r="U7" s="10"/>
    </row>
    <row r="8" spans="1:21" x14ac:dyDescent="0.2">
      <c r="A8" s="10"/>
      <c r="B8" s="384">
        <v>45620</v>
      </c>
      <c r="C8" s="385"/>
      <c r="D8" s="384">
        <f>selectie_tournament_date-21</f>
        <v>45599</v>
      </c>
      <c r="E8" s="385"/>
      <c r="F8" s="10"/>
      <c r="G8" s="227" t="s">
        <v>263</v>
      </c>
      <c r="H8" s="228" t="b">
        <v>1</v>
      </c>
      <c r="J8" s="397" t="s">
        <v>34</v>
      </c>
      <c r="K8" s="397"/>
      <c r="L8" s="397" t="s">
        <v>34</v>
      </c>
      <c r="M8" s="397"/>
      <c r="O8" s="232" t="s">
        <v>40</v>
      </c>
      <c r="P8" s="234" t="b">
        <v>0</v>
      </c>
      <c r="R8" s="10"/>
      <c r="U8" s="10"/>
    </row>
    <row r="9" spans="1:21" x14ac:dyDescent="0.2">
      <c r="A9" s="10"/>
      <c r="B9" s="10"/>
      <c r="C9" s="10"/>
      <c r="D9" s="10"/>
      <c r="E9" s="10"/>
      <c r="F9" s="10"/>
      <c r="G9" s="229" t="s">
        <v>265</v>
      </c>
      <c r="H9" s="230" t="b">
        <f>IF(H8=TRUE,FALSE,TRUE)</f>
        <v>0</v>
      </c>
      <c r="O9" s="18" t="str">
        <f>IF(H8=TRUE,"Ja","Yes")</f>
        <v>Ja</v>
      </c>
      <c r="P9" s="18" t="s">
        <v>34</v>
      </c>
      <c r="Q9" s="10"/>
      <c r="R9" s="10"/>
      <c r="S9" s="10"/>
      <c r="T9" s="10"/>
      <c r="U9" s="10"/>
    </row>
    <row r="10" spans="1:2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1" t="str">
        <f>IF(H8=TRUE,"Nee","No")</f>
        <v>Nee</v>
      </c>
      <c r="P10" s="21" t="s">
        <v>36</v>
      </c>
      <c r="Q10" s="10"/>
    </row>
    <row r="11" spans="1:2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4"/>
      <c r="P11" s="14"/>
      <c r="Q11" s="10"/>
    </row>
    <row r="12" spans="1:21" ht="21" x14ac:dyDescent="0.25">
      <c r="A12" s="10"/>
      <c r="B12" s="137" t="s">
        <v>269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4"/>
      <c r="P12" s="14"/>
      <c r="Q12" s="10"/>
    </row>
    <row r="13" spans="1:21" x14ac:dyDescent="0.2">
      <c r="A13" s="10"/>
      <c r="B13" s="10"/>
      <c r="D13" s="10"/>
      <c r="E13" s="10"/>
      <c r="F13" s="10"/>
      <c r="G13" s="10"/>
      <c r="I13" s="10"/>
      <c r="J13" s="10"/>
      <c r="K13" s="10"/>
      <c r="L13" s="10"/>
      <c r="O13" s="14"/>
      <c r="P13" s="14"/>
      <c r="Q13" s="10"/>
    </row>
    <row r="14" spans="1:21" x14ac:dyDescent="0.2">
      <c r="A14" s="10"/>
      <c r="B14" s="10" t="str">
        <f>_xlfn.CONCAT(IF(H8=TRUE,I14,I15),TEXT(selectie_tournament_date,"dd-mmm-jjjj"))</f>
        <v>Inschrijf formulier "Open Taekyon Toernooi" op Zondag 24-nov-2024</v>
      </c>
      <c r="C14" s="10"/>
      <c r="D14" s="10"/>
      <c r="E14" s="10"/>
      <c r="F14" s="10"/>
      <c r="G14" s="10"/>
      <c r="H14" s="10"/>
      <c r="I14" s="235" t="s">
        <v>314</v>
      </c>
      <c r="J14" s="10"/>
      <c r="K14" s="10"/>
      <c r="L14" s="10"/>
      <c r="M14" s="10"/>
      <c r="N14" s="10"/>
      <c r="O14" s="14"/>
      <c r="P14" s="14"/>
      <c r="Q14" s="10"/>
    </row>
    <row r="15" spans="1:21" x14ac:dyDescent="0.2">
      <c r="A15" s="10"/>
      <c r="B15" s="10"/>
      <c r="C15" s="10"/>
      <c r="D15" s="10"/>
      <c r="E15" s="10"/>
      <c r="F15" s="10"/>
      <c r="G15" s="10"/>
      <c r="H15" s="10"/>
      <c r="I15" s="10" t="s">
        <v>315</v>
      </c>
      <c r="J15" s="10"/>
      <c r="K15" s="10"/>
      <c r="L15" s="10"/>
      <c r="M15" s="10"/>
      <c r="N15" s="10"/>
      <c r="O15" s="14"/>
      <c r="P15" s="14"/>
      <c r="Q15" s="10"/>
    </row>
    <row r="16" spans="1:2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/>
      <c r="P16" s="14"/>
      <c r="Q16" s="10"/>
    </row>
    <row r="17" spans="1:17" x14ac:dyDescent="0.2">
      <c r="A17" s="10"/>
      <c r="B17" s="10" t="str">
        <f>IF(H$8=TRUE,I17,M17)</f>
        <v>Mail ingevulde formulier als</v>
      </c>
      <c r="C17" s="10"/>
      <c r="D17" s="10"/>
      <c r="E17" s="10"/>
      <c r="F17" s="10"/>
      <c r="G17" s="10"/>
      <c r="H17" s="10"/>
      <c r="I17" s="10" t="s">
        <v>106</v>
      </c>
      <c r="J17" s="10"/>
      <c r="K17" s="10"/>
      <c r="M17" s="10" t="s">
        <v>316</v>
      </c>
      <c r="N17" s="10"/>
      <c r="O17" s="14"/>
      <c r="P17" s="14"/>
      <c r="Q17" s="10"/>
    </row>
    <row r="18" spans="1:17" x14ac:dyDescent="0.2">
      <c r="A18" s="10"/>
      <c r="B18" s="10" t="str">
        <f t="shared" ref="B18:B19" si="0">IF(H$8=TRUE,I18,M18)</f>
        <v>een bijvoeging naar :</v>
      </c>
      <c r="C18" s="10"/>
      <c r="D18" s="10"/>
      <c r="E18" s="10"/>
      <c r="F18" s="10"/>
      <c r="G18" s="10"/>
      <c r="H18" s="10"/>
      <c r="I18" s="10" t="s">
        <v>107</v>
      </c>
      <c r="J18" s="10"/>
      <c r="K18" s="10"/>
      <c r="M18" s="10" t="s">
        <v>317</v>
      </c>
      <c r="N18" s="10"/>
      <c r="O18" s="14"/>
      <c r="P18" s="14"/>
      <c r="Q18" s="10"/>
    </row>
    <row r="19" spans="1:17" x14ac:dyDescent="0.2">
      <c r="A19" s="10"/>
      <c r="B19" s="10" t="str">
        <f t="shared" si="0"/>
        <v>!! Eerst bestand opslaan. Dan mailen</v>
      </c>
      <c r="C19" s="10"/>
      <c r="D19" s="10"/>
      <c r="E19" s="10"/>
      <c r="F19" s="10"/>
      <c r="G19" s="10"/>
      <c r="H19" s="10"/>
      <c r="I19" s="10" t="s">
        <v>112</v>
      </c>
      <c r="J19" s="10"/>
      <c r="K19" s="10"/>
      <c r="L19" s="10"/>
      <c r="M19" s="10" t="s">
        <v>270</v>
      </c>
      <c r="N19" s="10"/>
      <c r="O19" s="14"/>
      <c r="P19" s="14"/>
      <c r="Q19" s="10"/>
    </row>
    <row r="20" spans="1:1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4"/>
      <c r="P20" s="14"/>
      <c r="Q20" s="10"/>
    </row>
    <row r="21" spans="1:17" x14ac:dyDescent="0.2">
      <c r="A21" s="10"/>
      <c r="B21" s="10" t="str">
        <f>IF(H$8=TRUE,I21,M21)</f>
        <v>Onderwerp</v>
      </c>
      <c r="C21" s="10"/>
      <c r="D21" s="10"/>
      <c r="E21" s="10"/>
      <c r="F21" s="10"/>
      <c r="G21" s="10"/>
      <c r="H21" s="10"/>
      <c r="I21" s="10" t="s">
        <v>108</v>
      </c>
      <c r="J21" s="10"/>
      <c r="K21" s="10"/>
      <c r="L21" s="10"/>
      <c r="M21" s="10" t="s">
        <v>271</v>
      </c>
      <c r="N21" s="10"/>
      <c r="O21" s="14"/>
      <c r="P21" s="14"/>
      <c r="Q21" s="10"/>
    </row>
    <row r="22" spans="1:17" x14ac:dyDescent="0.2">
      <c r="A22" s="10"/>
      <c r="B22" s="10" t="str">
        <f t="shared" ref="B22:B50" si="1">IF(H$8=TRUE,I22,M22)</f>
        <v>Aantal</v>
      </c>
      <c r="C22" s="10"/>
      <c r="D22" s="10"/>
      <c r="E22" s="10"/>
      <c r="F22" s="10"/>
      <c r="G22" s="10"/>
      <c r="H22" s="10"/>
      <c r="I22" s="10" t="s">
        <v>93</v>
      </c>
      <c r="J22" s="10"/>
      <c r="K22" s="10"/>
      <c r="L22" s="10"/>
      <c r="M22" s="10" t="s">
        <v>272</v>
      </c>
      <c r="N22" s="10"/>
      <c r="O22" s="14"/>
      <c r="P22" s="14"/>
      <c r="Q22" s="10"/>
    </row>
    <row r="23" spans="1:17" x14ac:dyDescent="0.2">
      <c r="A23" s="10"/>
      <c r="B23" s="10" t="str">
        <f t="shared" si="1"/>
        <v>Kosten</v>
      </c>
      <c r="C23" s="10"/>
      <c r="D23" s="10"/>
      <c r="E23" s="10"/>
      <c r="F23" s="10"/>
      <c r="G23" s="10"/>
      <c r="H23" s="10"/>
      <c r="I23" s="10" t="s">
        <v>101</v>
      </c>
      <c r="J23" s="10"/>
      <c r="K23" s="10"/>
      <c r="L23" s="10"/>
      <c r="M23" s="10" t="s">
        <v>273</v>
      </c>
      <c r="N23" s="10"/>
      <c r="O23" s="14"/>
      <c r="P23" s="14"/>
      <c r="Q23" s="10"/>
    </row>
    <row r="24" spans="1:17" x14ac:dyDescent="0.2">
      <c r="A24" s="10"/>
      <c r="B24" s="10" t="str">
        <f t="shared" si="1"/>
        <v>Boetes</v>
      </c>
      <c r="C24" s="10"/>
      <c r="D24" s="10"/>
      <c r="E24" s="10"/>
      <c r="F24" s="10"/>
      <c r="G24" s="10"/>
      <c r="H24" s="10"/>
      <c r="I24" s="10" t="s">
        <v>68</v>
      </c>
      <c r="J24" s="10"/>
      <c r="K24" s="10"/>
      <c r="L24" s="10"/>
      <c r="M24" s="10" t="s">
        <v>274</v>
      </c>
      <c r="N24" s="10"/>
      <c r="O24" s="14"/>
      <c r="P24" s="14"/>
      <c r="Q24" s="10"/>
    </row>
    <row r="25" spans="1:17" ht="16" x14ac:dyDescent="0.2">
      <c r="A25" s="10"/>
      <c r="B25" s="10" t="str">
        <f t="shared" si="1"/>
        <v xml:space="preserve">Deelnemers alleen Tuls : </v>
      </c>
      <c r="C25" s="10"/>
      <c r="D25" s="10"/>
      <c r="E25" s="10"/>
      <c r="F25" s="10"/>
      <c r="G25" s="10"/>
      <c r="H25" s="10"/>
      <c r="I25" s="236" t="s">
        <v>102</v>
      </c>
      <c r="J25" s="237"/>
      <c r="K25" s="10"/>
      <c r="L25" s="10"/>
      <c r="M25" s="238" t="s">
        <v>275</v>
      </c>
      <c r="N25" s="10"/>
      <c r="O25" s="14"/>
      <c r="P25" s="14"/>
      <c r="Q25" s="10"/>
    </row>
    <row r="26" spans="1:17" ht="16" x14ac:dyDescent="0.2">
      <c r="A26" s="10"/>
      <c r="B26" s="10" t="str">
        <f t="shared" si="1"/>
        <v xml:space="preserve">Deelnemers alleen Sparren : </v>
      </c>
      <c r="C26" s="10"/>
      <c r="D26" s="10"/>
      <c r="E26" s="10"/>
      <c r="F26" s="10"/>
      <c r="G26" s="10"/>
      <c r="H26" s="10"/>
      <c r="I26" s="236" t="s">
        <v>103</v>
      </c>
      <c r="J26" s="237"/>
      <c r="K26" s="10"/>
      <c r="L26" s="10"/>
      <c r="M26" s="238" t="s">
        <v>276</v>
      </c>
      <c r="N26" s="10"/>
      <c r="O26" s="14"/>
      <c r="P26" s="14"/>
      <c r="Q26" s="10"/>
    </row>
    <row r="27" spans="1:17" ht="16" x14ac:dyDescent="0.2">
      <c r="A27" s="10"/>
      <c r="B27" s="10" t="str">
        <f t="shared" si="1"/>
        <v xml:space="preserve">Deelnemers Tuls &amp; Sparren : </v>
      </c>
      <c r="C27" s="10"/>
      <c r="D27" s="10"/>
      <c r="E27" s="10"/>
      <c r="F27" s="10"/>
      <c r="G27" s="10"/>
      <c r="H27" s="10"/>
      <c r="I27" s="236" t="s">
        <v>104</v>
      </c>
      <c r="J27" s="237"/>
      <c r="K27" s="10"/>
      <c r="L27" s="10"/>
      <c r="M27" s="238" t="s">
        <v>277</v>
      </c>
      <c r="N27" s="10"/>
      <c r="O27" s="14"/>
      <c r="P27" s="14"/>
      <c r="Q27" s="10"/>
    </row>
    <row r="28" spans="1:17" ht="16" x14ac:dyDescent="0.2">
      <c r="A28" s="10"/>
      <c r="B28" s="10" t="str">
        <f t="shared" si="1"/>
        <v xml:space="preserve">Deelnemers Totaal : </v>
      </c>
      <c r="C28" s="10"/>
      <c r="D28" s="10"/>
      <c r="E28" s="10"/>
      <c r="F28" s="10"/>
      <c r="G28" s="10"/>
      <c r="H28" s="10"/>
      <c r="I28" s="10" t="s">
        <v>105</v>
      </c>
      <c r="J28" s="10"/>
      <c r="K28" s="10"/>
      <c r="L28" s="10"/>
      <c r="M28" s="238" t="s">
        <v>278</v>
      </c>
      <c r="N28" s="10"/>
      <c r="O28" s="14"/>
      <c r="P28" s="14"/>
      <c r="Q28" s="10"/>
    </row>
    <row r="29" spans="1:17" x14ac:dyDescent="0.2">
      <c r="A29" s="10"/>
      <c r="B29" s="10" t="str">
        <f t="shared" si="1"/>
        <v xml:space="preserve">Totaal kosten : </v>
      </c>
      <c r="C29" s="10"/>
      <c r="D29" s="10"/>
      <c r="E29" s="10"/>
      <c r="F29" s="10"/>
      <c r="G29" s="10"/>
      <c r="H29" s="10"/>
      <c r="I29" s="10" t="s">
        <v>279</v>
      </c>
      <c r="J29" s="10"/>
      <c r="K29" s="10"/>
      <c r="L29" s="10"/>
      <c r="M29" s="10" t="s">
        <v>280</v>
      </c>
      <c r="N29" s="10"/>
      <c r="O29" s="14"/>
      <c r="P29" s="14"/>
      <c r="Q29" s="10"/>
    </row>
    <row r="30" spans="1:17" ht="16" x14ac:dyDescent="0.2">
      <c r="A30" s="10"/>
      <c r="B30" s="10" t="str">
        <f t="shared" si="1"/>
        <v xml:space="preserve">Te weinig scheidsrechters : </v>
      </c>
      <c r="C30" s="10"/>
      <c r="D30" s="10"/>
      <c r="E30" s="10"/>
      <c r="F30" s="10"/>
      <c r="G30" s="10"/>
      <c r="H30" s="10"/>
      <c r="I30" s="10" t="s">
        <v>281</v>
      </c>
      <c r="J30" s="10"/>
      <c r="K30" s="10"/>
      <c r="L30" s="10"/>
      <c r="M30" s="238" t="s">
        <v>318</v>
      </c>
      <c r="N30" s="10"/>
      <c r="O30" s="14"/>
      <c r="P30" s="14"/>
      <c r="Q30" s="10"/>
    </row>
    <row r="31" spans="1:17" x14ac:dyDescent="0.2">
      <c r="A31" s="10"/>
      <c r="B31" s="10" t="str">
        <f t="shared" si="1"/>
        <v xml:space="preserve">Boetes totaal : </v>
      </c>
      <c r="C31" s="10"/>
      <c r="D31" s="10"/>
      <c r="E31" s="10"/>
      <c r="F31" s="10"/>
      <c r="G31" s="10"/>
      <c r="H31" s="10"/>
      <c r="I31" s="10" t="s">
        <v>282</v>
      </c>
      <c r="J31" s="10"/>
      <c r="K31" s="10"/>
      <c r="L31" s="10"/>
      <c r="M31" s="10" t="s">
        <v>283</v>
      </c>
      <c r="N31" s="10"/>
      <c r="O31" s="14"/>
      <c r="P31" s="14"/>
      <c r="Q31" s="10"/>
    </row>
    <row r="32" spans="1:17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4"/>
      <c r="P32" s="14"/>
      <c r="Q32" s="10"/>
    </row>
    <row r="33" spans="1:17" x14ac:dyDescent="0.2">
      <c r="A33" s="10"/>
      <c r="B33" s="10" t="str">
        <f t="shared" si="1"/>
        <v xml:space="preserve">School / Vereniging : </v>
      </c>
      <c r="C33" s="10"/>
      <c r="D33" s="10"/>
      <c r="E33" s="10"/>
      <c r="F33" s="10"/>
      <c r="G33" s="10"/>
      <c r="H33" s="10"/>
      <c r="I33" s="10" t="s">
        <v>0</v>
      </c>
      <c r="J33" s="10"/>
      <c r="K33" s="10"/>
      <c r="L33" s="10"/>
      <c r="M33" s="10" t="s">
        <v>287</v>
      </c>
      <c r="N33" s="10"/>
      <c r="O33" s="14"/>
      <c r="P33" s="14"/>
      <c r="Q33" s="10"/>
    </row>
    <row r="34" spans="1:17" x14ac:dyDescent="0.2">
      <c r="A34" s="10"/>
      <c r="B34" s="10" t="str">
        <f t="shared" si="1"/>
        <v xml:space="preserve">Adres                      : </v>
      </c>
      <c r="C34" s="10"/>
      <c r="D34" s="10"/>
      <c r="E34" s="10"/>
      <c r="F34" s="10"/>
      <c r="G34" s="10"/>
      <c r="H34" s="10"/>
      <c r="I34" s="10" t="s">
        <v>2</v>
      </c>
      <c r="J34" s="10"/>
      <c r="K34" s="10"/>
      <c r="L34" s="10"/>
      <c r="M34" s="10" t="s">
        <v>288</v>
      </c>
      <c r="N34" s="10"/>
      <c r="O34" s="14"/>
      <c r="P34" s="14"/>
      <c r="Q34" s="10"/>
    </row>
    <row r="35" spans="1:17" x14ac:dyDescent="0.2">
      <c r="A35" s="10"/>
      <c r="B35" s="10" t="str">
        <f t="shared" si="1"/>
        <v xml:space="preserve">Postcode en Plaats : </v>
      </c>
      <c r="C35" s="10"/>
      <c r="D35" s="10"/>
      <c r="E35" s="10"/>
      <c r="F35" s="10"/>
      <c r="G35" s="10"/>
      <c r="H35" s="10"/>
      <c r="I35" s="10" t="s">
        <v>3</v>
      </c>
      <c r="J35" s="10"/>
      <c r="K35" s="10"/>
      <c r="L35" s="10"/>
      <c r="M35" s="10" t="s">
        <v>289</v>
      </c>
      <c r="N35" s="10"/>
      <c r="O35" s="14"/>
      <c r="P35" s="14"/>
      <c r="Q35" s="10"/>
    </row>
    <row r="36" spans="1:17" x14ac:dyDescent="0.2">
      <c r="A36" s="10"/>
      <c r="B36" s="10" t="str">
        <f t="shared" si="1"/>
        <v xml:space="preserve">Naam Coach(es) : </v>
      </c>
      <c r="C36" s="10"/>
      <c r="D36" s="10"/>
      <c r="E36" s="10"/>
      <c r="F36" s="10"/>
      <c r="G36" s="10"/>
      <c r="H36" s="10"/>
      <c r="I36" s="10" t="s">
        <v>5</v>
      </c>
      <c r="J36" s="10"/>
      <c r="K36" s="10"/>
      <c r="L36" s="10"/>
      <c r="M36" s="10" t="s">
        <v>290</v>
      </c>
      <c r="N36" s="10"/>
      <c r="O36" s="14"/>
      <c r="P36" s="14"/>
      <c r="Q36" s="10"/>
    </row>
    <row r="37" spans="1:17" x14ac:dyDescent="0.2">
      <c r="A37" s="10"/>
      <c r="B37" s="10" t="str">
        <f t="shared" si="1"/>
        <v>Niet OK. Geen deelnemers.</v>
      </c>
      <c r="C37" s="10"/>
      <c r="D37" s="10"/>
      <c r="E37" s="10"/>
      <c r="F37" s="10"/>
      <c r="G37" s="10" t="s">
        <v>284</v>
      </c>
      <c r="H37" s="10"/>
      <c r="I37" s="10" t="s">
        <v>292</v>
      </c>
      <c r="J37" s="10"/>
      <c r="K37" s="10"/>
      <c r="L37" s="10"/>
      <c r="M37" s="10" t="s">
        <v>291</v>
      </c>
      <c r="N37" s="10"/>
      <c r="O37" s="14"/>
      <c r="P37" s="14"/>
      <c r="Q37" s="10"/>
    </row>
    <row r="38" spans="1:17" x14ac:dyDescent="0.2">
      <c r="A38" s="10"/>
      <c r="B38" s="10" t="str">
        <f t="shared" si="1"/>
        <v>Niet OK. Deelnemers &lt; 5</v>
      </c>
      <c r="C38" s="10"/>
      <c r="D38" s="10"/>
      <c r="E38" s="10"/>
      <c r="F38" s="10"/>
      <c r="G38" s="10" t="s">
        <v>285</v>
      </c>
      <c r="H38" s="10"/>
      <c r="I38" s="10" t="str">
        <f>_xlfn.CONCAT("Niet OK. Deelnemers &lt; ",H125)</f>
        <v>Niet OK. Deelnemers &lt; 5</v>
      </c>
      <c r="J38" s="10"/>
      <c r="K38" s="10"/>
      <c r="L38" s="10"/>
      <c r="M38" s="10" t="str">
        <f>_xlfn.CONCAT("Not OK. Participants &lt; ",H125)</f>
        <v>Not OK. Participants &lt; 5</v>
      </c>
      <c r="N38" s="10"/>
      <c r="O38" s="14"/>
      <c r="P38" s="14"/>
      <c r="Q38" s="10"/>
    </row>
    <row r="39" spans="1:17" x14ac:dyDescent="0.2">
      <c r="A39" s="10"/>
      <c r="B39" s="10" t="str">
        <f t="shared" si="1"/>
        <v>Niet OK. Deelnemers &lt; 10</v>
      </c>
      <c r="C39" s="10"/>
      <c r="D39" s="10"/>
      <c r="E39" s="10"/>
      <c r="F39" s="10"/>
      <c r="G39" s="10" t="s">
        <v>286</v>
      </c>
      <c r="H39" s="10"/>
      <c r="I39" s="10" t="str">
        <f>_xlfn.CONCAT("Niet OK. Deelnemers &lt; ",H126)</f>
        <v>Niet OK. Deelnemers &lt; 10</v>
      </c>
      <c r="J39" s="10"/>
      <c r="K39" s="10"/>
      <c r="L39" s="10"/>
      <c r="M39" s="10" t="str">
        <f>_xlfn.CONCAT("Not OK. Participants &lt; ",H126)</f>
        <v>Not OK. Participants &lt; 10</v>
      </c>
      <c r="N39" s="10"/>
      <c r="O39" s="14"/>
      <c r="P39" s="14"/>
      <c r="Q39" s="10"/>
    </row>
    <row r="40" spans="1:17" x14ac:dyDescent="0.2">
      <c r="A40" s="10"/>
      <c r="B40" s="10" t="str">
        <f t="shared" si="1"/>
        <v>Niet OK. Deelnemers &lt; 15</v>
      </c>
      <c r="C40" s="10"/>
      <c r="D40" s="10"/>
      <c r="E40" s="10"/>
      <c r="F40" s="10"/>
      <c r="G40" s="10" t="s">
        <v>326</v>
      </c>
      <c r="H40" s="10"/>
      <c r="I40" s="10" t="str">
        <f>_xlfn.CONCAT("Niet OK. Deelnemers &lt; ",H127)</f>
        <v>Niet OK. Deelnemers &lt; 15</v>
      </c>
      <c r="J40" s="10"/>
      <c r="K40" s="10"/>
      <c r="L40" s="10"/>
      <c r="M40" s="10" t="str">
        <f>_xlfn.CONCAT("Not OK. Participants &lt; ",H127)</f>
        <v>Not OK. Participants &lt; 15</v>
      </c>
      <c r="N40" s="10"/>
      <c r="O40" s="14"/>
      <c r="P40" s="14"/>
      <c r="Q40" s="10"/>
    </row>
    <row r="41" spans="1:17" x14ac:dyDescent="0.2">
      <c r="A41" s="10"/>
      <c r="B41" s="10" t="str">
        <f t="shared" si="1"/>
        <v>Niet OK. Deelnemers &lt; 15</v>
      </c>
      <c r="C41" s="10"/>
      <c r="D41" s="10"/>
      <c r="E41" s="10"/>
      <c r="F41" s="10"/>
      <c r="G41" s="10" t="s">
        <v>327</v>
      </c>
      <c r="H41" s="10"/>
      <c r="I41" s="10" t="str">
        <f>_xlfn.CONCAT("Niet OK. Deelnemers &lt; ",H127)</f>
        <v>Niet OK. Deelnemers &lt; 15</v>
      </c>
      <c r="J41" s="10"/>
      <c r="K41" s="10"/>
      <c r="L41" s="10"/>
      <c r="M41" s="10" t="str">
        <f>_xlfn.CONCAT("Not OK. Participants &lt; ",H127)</f>
        <v>Not OK. Participants &lt; 15</v>
      </c>
      <c r="N41" s="10"/>
      <c r="O41" s="14"/>
      <c r="P41" s="14"/>
      <c r="Q41" s="10"/>
    </row>
    <row r="42" spans="1:17" x14ac:dyDescent="0.2">
      <c r="A42" s="10"/>
      <c r="B42" s="10" t="str">
        <f t="shared" si="1"/>
        <v xml:space="preserve">Contact : </v>
      </c>
      <c r="C42" s="10"/>
      <c r="D42" s="10"/>
      <c r="E42" s="10"/>
      <c r="F42" s="10"/>
      <c r="G42" s="10"/>
      <c r="H42" s="10"/>
      <c r="I42" s="10" t="s">
        <v>1</v>
      </c>
      <c r="J42" s="10"/>
      <c r="K42" s="10"/>
      <c r="L42" s="10"/>
      <c r="M42" s="10" t="s">
        <v>1</v>
      </c>
      <c r="N42" s="10"/>
      <c r="O42" s="14"/>
      <c r="P42" s="14"/>
      <c r="Q42" s="10"/>
    </row>
    <row r="43" spans="1:17" x14ac:dyDescent="0.2">
      <c r="A43" s="10"/>
      <c r="B43" s="10" t="str">
        <f t="shared" si="1"/>
        <v xml:space="preserve">Telefoon : </v>
      </c>
      <c r="C43" s="10"/>
      <c r="D43" s="10"/>
      <c r="E43" s="10"/>
      <c r="F43" s="10"/>
      <c r="G43" s="10"/>
      <c r="H43" s="10"/>
      <c r="I43" s="10" t="s">
        <v>113</v>
      </c>
      <c r="J43" s="10"/>
      <c r="K43" s="10"/>
      <c r="L43" s="10"/>
      <c r="M43" s="10" t="s">
        <v>293</v>
      </c>
      <c r="N43" s="10"/>
      <c r="O43" s="14"/>
      <c r="P43" s="14"/>
      <c r="Q43" s="10"/>
    </row>
    <row r="44" spans="1:17" x14ac:dyDescent="0.2">
      <c r="A44" s="10"/>
      <c r="B44" s="10" t="str">
        <f t="shared" si="1"/>
        <v xml:space="preserve">E-mail : </v>
      </c>
      <c r="C44" s="10"/>
      <c r="D44" s="10"/>
      <c r="E44" s="10"/>
      <c r="F44" s="10"/>
      <c r="G44" s="10"/>
      <c r="H44" s="10"/>
      <c r="I44" s="10" t="s">
        <v>4</v>
      </c>
      <c r="J44" s="10"/>
      <c r="K44" s="10"/>
      <c r="L44" s="10"/>
      <c r="M44" s="10" t="s">
        <v>4</v>
      </c>
      <c r="N44" s="10"/>
      <c r="O44" s="14"/>
      <c r="P44" s="14"/>
      <c r="Q44" s="10"/>
    </row>
    <row r="45" spans="1:17" x14ac:dyDescent="0.2">
      <c r="A45" s="10"/>
      <c r="B45" s="10" t="str">
        <f t="shared" si="1"/>
        <v xml:space="preserve">Scheidsrechters : </v>
      </c>
      <c r="C45" s="10"/>
      <c r="D45" s="10"/>
      <c r="E45" s="10"/>
      <c r="F45" s="10"/>
      <c r="G45" s="10"/>
      <c r="H45" s="10"/>
      <c r="I45" s="10" t="s">
        <v>294</v>
      </c>
      <c r="J45" s="10"/>
      <c r="K45" s="10"/>
      <c r="L45" s="10"/>
      <c r="M45" s="10" t="s">
        <v>6</v>
      </c>
      <c r="N45" s="10"/>
      <c r="O45" s="14"/>
      <c r="P45" s="14"/>
      <c r="Q45" s="10"/>
    </row>
    <row r="46" spans="1:17" x14ac:dyDescent="0.2">
      <c r="A46" s="10"/>
      <c r="B46" s="10" t="str">
        <f t="shared" si="1"/>
        <v>Naam Scheidsrechters</v>
      </c>
      <c r="C46" s="10"/>
      <c r="D46" s="10"/>
      <c r="E46" s="10"/>
      <c r="F46" s="10"/>
      <c r="G46" s="10"/>
      <c r="H46" s="10"/>
      <c r="I46" s="10" t="s">
        <v>7</v>
      </c>
      <c r="J46" s="10"/>
      <c r="K46" s="10"/>
      <c r="M46" s="105" t="s">
        <v>295</v>
      </c>
      <c r="P46" s="14"/>
      <c r="Q46" s="10"/>
    </row>
    <row r="47" spans="1:17" x14ac:dyDescent="0.2">
      <c r="A47" s="10"/>
      <c r="B47" s="10" t="str">
        <f t="shared" si="1"/>
        <v>Gradatie</v>
      </c>
      <c r="C47" s="10"/>
      <c r="D47" s="10"/>
      <c r="E47" s="10"/>
      <c r="F47" s="10"/>
      <c r="G47" s="10"/>
      <c r="H47" s="10"/>
      <c r="I47" s="10" t="s">
        <v>8</v>
      </c>
      <c r="J47" s="10"/>
      <c r="K47" s="10"/>
      <c r="L47" s="10"/>
      <c r="M47" s="105" t="s">
        <v>296</v>
      </c>
      <c r="N47" s="10"/>
      <c r="O47" s="14"/>
    </row>
    <row r="48" spans="1:17" x14ac:dyDescent="0.2">
      <c r="A48" s="10"/>
      <c r="B48" s="10" t="str">
        <f t="shared" si="1"/>
        <v>Licentie</v>
      </c>
      <c r="C48" s="10"/>
      <c r="D48" s="10"/>
      <c r="E48" s="10"/>
      <c r="F48" s="10"/>
      <c r="G48" s="10"/>
      <c r="H48" s="10"/>
      <c r="I48" s="10" t="s">
        <v>9</v>
      </c>
      <c r="J48" s="10"/>
      <c r="K48" s="10"/>
      <c r="L48" s="10"/>
      <c r="M48" s="105" t="s">
        <v>297</v>
      </c>
      <c r="N48" s="10"/>
      <c r="O48" s="14"/>
      <c r="P48" s="14"/>
      <c r="Q48" s="10"/>
    </row>
    <row r="49" spans="1:17" x14ac:dyDescent="0.2">
      <c r="A49" s="10"/>
      <c r="B49" s="10" t="str">
        <f t="shared" si="1"/>
        <v>Leeftijd</v>
      </c>
      <c r="C49" s="10"/>
      <c r="D49" s="10"/>
      <c r="E49" s="10"/>
      <c r="F49" s="10"/>
      <c r="G49" s="10"/>
      <c r="H49" s="10"/>
      <c r="I49" s="10" t="s">
        <v>10</v>
      </c>
      <c r="J49" s="10"/>
      <c r="K49" s="10"/>
      <c r="L49" s="10"/>
      <c r="M49" s="7" t="s">
        <v>117</v>
      </c>
      <c r="N49" s="10"/>
      <c r="O49" s="14"/>
      <c r="P49" s="14"/>
      <c r="Q49" s="10"/>
    </row>
    <row r="50" spans="1:17" x14ac:dyDescent="0.2">
      <c r="A50" s="10"/>
      <c r="B50" s="10" t="str">
        <f t="shared" si="1"/>
        <v>Voorkeur</v>
      </c>
      <c r="C50" s="10"/>
      <c r="D50" s="10"/>
      <c r="E50" s="10"/>
      <c r="F50" s="10"/>
      <c r="G50" s="10"/>
      <c r="H50" s="10"/>
      <c r="I50" s="14" t="s">
        <v>11</v>
      </c>
      <c r="J50" s="10"/>
      <c r="K50" s="10"/>
      <c r="L50" s="10"/>
      <c r="M50" s="7" t="s">
        <v>298</v>
      </c>
      <c r="N50" s="10"/>
      <c r="O50" s="14"/>
      <c r="P50" s="14"/>
      <c r="Q50" s="10"/>
    </row>
    <row r="51" spans="1:17" x14ac:dyDescent="0.2">
      <c r="A51" s="10"/>
      <c r="B51" s="10" t="str">
        <f>IF(H$8=TRUE,G51,K51)</f>
        <v xml:space="preserve">Verplicht : </v>
      </c>
      <c r="C51" s="10"/>
      <c r="D51" s="10" t="str">
        <f>IF(H$8=TRUE,I51,M51)</f>
        <v xml:space="preserve">Toegestaan : </v>
      </c>
      <c r="E51" s="10"/>
      <c r="F51" s="10"/>
      <c r="G51" s="10" t="s">
        <v>299</v>
      </c>
      <c r="H51" s="10"/>
      <c r="I51" s="10" t="s">
        <v>300</v>
      </c>
      <c r="J51" s="10"/>
      <c r="K51" s="10" t="s">
        <v>301</v>
      </c>
      <c r="L51" s="10"/>
      <c r="M51" s="10" t="s">
        <v>302</v>
      </c>
      <c r="N51" s="10"/>
      <c r="O51" s="14"/>
      <c r="P51" s="14"/>
      <c r="Q51" s="10"/>
    </row>
    <row r="52" spans="1:17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4"/>
      <c r="P52" s="14"/>
      <c r="Q52" s="10"/>
    </row>
    <row r="53" spans="1:17" ht="15.75" customHeight="1" x14ac:dyDescent="0.2">
      <c r="A53" s="10"/>
      <c r="B53" s="10" t="str">
        <f t="shared" ref="B53:B68" si="2">IF(H$8=TRUE,I53,M53)</f>
        <v>Nr:</v>
      </c>
      <c r="C53" s="10"/>
      <c r="D53" s="10"/>
      <c r="E53" s="10"/>
      <c r="F53" s="10"/>
      <c r="G53" s="10"/>
      <c r="H53" s="10"/>
      <c r="I53" s="10" t="s">
        <v>17</v>
      </c>
      <c r="M53" s="105" t="s">
        <v>17</v>
      </c>
      <c r="Q53" s="10"/>
    </row>
    <row r="54" spans="1:17" x14ac:dyDescent="0.2">
      <c r="A54" s="10"/>
      <c r="B54" s="10" t="str">
        <f t="shared" si="2"/>
        <v>Roepnaam</v>
      </c>
      <c r="C54" s="10"/>
      <c r="D54" s="10"/>
      <c r="E54" s="10"/>
      <c r="F54" s="10"/>
      <c r="G54" s="10"/>
      <c r="H54" s="10"/>
      <c r="I54" s="10" t="s">
        <v>18</v>
      </c>
      <c r="J54" s="10"/>
      <c r="K54" s="10"/>
      <c r="L54" s="10"/>
      <c r="M54" s="105" t="s">
        <v>303</v>
      </c>
      <c r="N54" s="10"/>
      <c r="O54" s="14"/>
      <c r="P54" s="14"/>
      <c r="Q54" s="10"/>
    </row>
    <row r="55" spans="1:17" x14ac:dyDescent="0.2">
      <c r="A55" s="10"/>
      <c r="B55" s="10" t="str">
        <f t="shared" si="2"/>
        <v>Tussen
voegsel</v>
      </c>
      <c r="C55" s="10"/>
      <c r="D55" s="10"/>
      <c r="E55" s="10"/>
      <c r="F55" s="10"/>
      <c r="G55" s="10"/>
      <c r="H55" s="10"/>
      <c r="I55" s="10" t="s">
        <v>19</v>
      </c>
      <c r="J55" s="10"/>
      <c r="K55" s="10"/>
      <c r="L55" s="10"/>
      <c r="M55" s="105" t="s">
        <v>304</v>
      </c>
      <c r="N55" s="10"/>
      <c r="O55" s="14"/>
      <c r="P55" s="14"/>
      <c r="Q55" s="10"/>
    </row>
    <row r="56" spans="1:17" x14ac:dyDescent="0.2">
      <c r="A56" s="10"/>
      <c r="B56" s="10" t="str">
        <f t="shared" si="2"/>
        <v>Achternaam</v>
      </c>
      <c r="C56" s="10"/>
      <c r="D56" s="10"/>
      <c r="E56" s="10"/>
      <c r="F56" s="10"/>
      <c r="G56" s="10"/>
      <c r="H56" s="10"/>
      <c r="I56" s="10" t="s">
        <v>20</v>
      </c>
      <c r="J56" s="10"/>
      <c r="K56" s="10"/>
      <c r="L56" s="10"/>
      <c r="M56" s="105" t="s">
        <v>305</v>
      </c>
      <c r="N56" s="10"/>
      <c r="O56" s="14"/>
      <c r="P56" s="14"/>
      <c r="Q56" s="10"/>
    </row>
    <row r="57" spans="1:17" x14ac:dyDescent="0.2">
      <c r="A57" s="10"/>
      <c r="B57" s="10" t="str">
        <f t="shared" si="2"/>
        <v>Geboorte datum</v>
      </c>
      <c r="C57" s="10"/>
      <c r="D57" s="10"/>
      <c r="E57" s="10"/>
      <c r="F57" s="10"/>
      <c r="G57" s="10"/>
      <c r="H57" s="10"/>
      <c r="I57" s="10" t="s">
        <v>114</v>
      </c>
      <c r="M57" s="7" t="s">
        <v>306</v>
      </c>
    </row>
    <row r="58" spans="1:17" x14ac:dyDescent="0.2">
      <c r="A58" s="10"/>
      <c r="B58" s="10" t="str">
        <f t="shared" si="2"/>
        <v>Dag / Maand / Jaar</v>
      </c>
      <c r="C58" s="10"/>
      <c r="D58" s="10"/>
      <c r="E58" s="10"/>
      <c r="F58" s="10"/>
      <c r="G58" s="10"/>
      <c r="H58" s="10"/>
      <c r="I58" s="10" t="s">
        <v>29</v>
      </c>
      <c r="K58" s="10"/>
      <c r="M58" s="7" t="s">
        <v>309</v>
      </c>
      <c r="O58" s="14"/>
    </row>
    <row r="59" spans="1:17" x14ac:dyDescent="0.2">
      <c r="A59" s="10"/>
      <c r="B59" s="10" t="str">
        <f t="shared" si="2"/>
        <v>Geslacht</v>
      </c>
      <c r="C59" s="10"/>
      <c r="D59" s="10"/>
      <c r="E59" s="10"/>
      <c r="F59" s="10"/>
      <c r="G59" s="10"/>
      <c r="H59" s="10"/>
      <c r="I59" s="10" t="s">
        <v>21</v>
      </c>
      <c r="J59" s="10"/>
      <c r="K59" s="10"/>
      <c r="L59" s="10"/>
      <c r="M59" s="7" t="s">
        <v>307</v>
      </c>
      <c r="N59" s="10"/>
      <c r="O59" s="14"/>
      <c r="P59" s="14"/>
      <c r="Q59" s="10"/>
    </row>
    <row r="60" spans="1:17" x14ac:dyDescent="0.2">
      <c r="A60" s="10"/>
      <c r="B60" s="10" t="str">
        <f t="shared" si="2"/>
        <v>M / V</v>
      </c>
      <c r="C60" s="10"/>
      <c r="D60" s="10"/>
      <c r="E60" s="10"/>
      <c r="F60" s="10"/>
      <c r="G60" s="10"/>
      <c r="H60" s="10"/>
      <c r="I60" s="10" t="s">
        <v>30</v>
      </c>
      <c r="J60" s="10"/>
      <c r="K60" s="10"/>
      <c r="L60" s="10"/>
      <c r="M60" s="7" t="s">
        <v>310</v>
      </c>
      <c r="N60" s="10"/>
      <c r="O60" s="14"/>
      <c r="P60" s="14"/>
      <c r="Q60" s="10"/>
    </row>
    <row r="61" spans="1:17" x14ac:dyDescent="0.2">
      <c r="A61" s="10"/>
      <c r="B61" s="10" t="str">
        <f t="shared" si="2"/>
        <v>Graduatie:</v>
      </c>
      <c r="C61" s="10"/>
      <c r="D61" s="10"/>
      <c r="E61" s="10"/>
      <c r="F61" s="10"/>
      <c r="G61" s="10"/>
      <c r="H61" s="10"/>
      <c r="I61" s="10" t="s">
        <v>23</v>
      </c>
      <c r="J61" s="10"/>
      <c r="K61" s="10"/>
      <c r="L61" s="10"/>
      <c r="M61" s="105" t="s">
        <v>296</v>
      </c>
      <c r="N61" s="10"/>
      <c r="O61" s="14"/>
      <c r="P61" s="14"/>
      <c r="Q61" s="10"/>
    </row>
    <row r="62" spans="1:17" x14ac:dyDescent="0.2">
      <c r="A62" s="10"/>
      <c r="B62" s="10" t="str">
        <f t="shared" si="2"/>
        <v>Tuls</v>
      </c>
      <c r="C62" s="10"/>
      <c r="D62" s="10"/>
      <c r="E62" s="10"/>
      <c r="F62" s="10"/>
      <c r="G62" s="10"/>
      <c r="H62" s="10"/>
      <c r="I62" s="10" t="s">
        <v>24</v>
      </c>
      <c r="J62" s="10"/>
      <c r="K62" s="10"/>
      <c r="L62" s="10"/>
      <c r="M62" s="105" t="s">
        <v>24</v>
      </c>
      <c r="N62" s="10"/>
      <c r="O62" s="14"/>
      <c r="P62" s="14"/>
      <c r="Q62" s="10"/>
    </row>
    <row r="63" spans="1:17" x14ac:dyDescent="0.2">
      <c r="A63" s="10"/>
      <c r="B63" s="10" t="str">
        <f t="shared" si="2"/>
        <v>Ja/ Nee</v>
      </c>
      <c r="C63" s="10"/>
      <c r="D63" s="10"/>
      <c r="E63" s="10"/>
      <c r="F63" s="10"/>
      <c r="G63" s="10"/>
      <c r="H63" s="10"/>
      <c r="I63" s="10" t="s">
        <v>31</v>
      </c>
      <c r="J63" s="10"/>
      <c r="K63" s="10"/>
      <c r="L63" s="10"/>
      <c r="M63" s="105" t="s">
        <v>311</v>
      </c>
      <c r="N63" s="10"/>
      <c r="O63" s="14"/>
      <c r="P63" s="14"/>
      <c r="Q63" s="10"/>
    </row>
    <row r="64" spans="1:17" x14ac:dyDescent="0.2">
      <c r="A64" s="10"/>
      <c r="B64" s="10" t="str">
        <f t="shared" si="2"/>
        <v>Sparring</v>
      </c>
      <c r="C64" s="10"/>
      <c r="D64" s="10"/>
      <c r="E64" s="10"/>
      <c r="F64" s="10"/>
      <c r="G64" s="10"/>
      <c r="H64" s="10"/>
      <c r="I64" s="10" t="s">
        <v>25</v>
      </c>
      <c r="J64" s="10"/>
      <c r="K64" s="10"/>
      <c r="L64" s="10"/>
      <c r="M64" s="105" t="s">
        <v>25</v>
      </c>
      <c r="N64" s="10"/>
      <c r="O64" s="14"/>
      <c r="P64" s="14"/>
      <c r="Q64" s="10"/>
    </row>
    <row r="65" spans="1:23" x14ac:dyDescent="0.2">
      <c r="A65" s="10"/>
      <c r="B65" s="10" t="str">
        <f t="shared" si="2"/>
        <v>Ja/ Nee</v>
      </c>
      <c r="C65" s="10"/>
      <c r="D65" s="10"/>
      <c r="E65" s="10"/>
      <c r="F65" s="10"/>
      <c r="G65" s="10"/>
      <c r="H65" s="10"/>
      <c r="I65" s="10" t="s">
        <v>31</v>
      </c>
      <c r="J65" s="10"/>
      <c r="K65" s="10"/>
      <c r="L65" s="10"/>
      <c r="M65" s="105" t="s">
        <v>311</v>
      </c>
      <c r="N65" s="10"/>
      <c r="O65" s="14"/>
      <c r="P65" s="14"/>
      <c r="Q65" s="10"/>
    </row>
    <row r="66" spans="1:23" x14ac:dyDescent="0.2">
      <c r="A66" s="10"/>
      <c r="B66" s="10" t="str">
        <f t="shared" si="2"/>
        <v>Gewicht</v>
      </c>
      <c r="C66" s="10"/>
      <c r="D66" s="10"/>
      <c r="E66" s="10"/>
      <c r="F66" s="10"/>
      <c r="G66" s="10"/>
      <c r="H66" s="10"/>
      <c r="I66" s="10" t="s">
        <v>26</v>
      </c>
      <c r="J66" s="10"/>
      <c r="K66" s="10"/>
      <c r="L66" s="10"/>
      <c r="M66" s="7" t="s">
        <v>308</v>
      </c>
      <c r="N66" s="10"/>
      <c r="O66" s="14"/>
      <c r="P66" s="14"/>
      <c r="Q66" s="10"/>
    </row>
    <row r="67" spans="1:23" x14ac:dyDescent="0.2">
      <c r="A67" s="10"/>
      <c r="B67" s="10" t="str">
        <f t="shared" si="2"/>
        <v>Kg</v>
      </c>
      <c r="C67" s="10"/>
      <c r="D67" s="10"/>
      <c r="E67" s="10"/>
      <c r="F67" s="10"/>
      <c r="G67" s="10"/>
      <c r="H67" s="10"/>
      <c r="I67" s="10" t="s">
        <v>32</v>
      </c>
      <c r="J67" s="10"/>
      <c r="K67" s="10"/>
      <c r="L67" s="10"/>
      <c r="M67" s="8" t="s">
        <v>32</v>
      </c>
      <c r="N67" s="10"/>
      <c r="O67" s="14"/>
      <c r="P67" s="14"/>
      <c r="Q67" s="10"/>
    </row>
    <row r="68" spans="1:23" x14ac:dyDescent="0.2">
      <c r="A68" s="10"/>
      <c r="B68" s="10" t="str">
        <f t="shared" si="2"/>
        <v>Klasse</v>
      </c>
      <c r="C68" s="10"/>
      <c r="D68" s="10"/>
      <c r="E68" s="10"/>
      <c r="F68" s="10"/>
      <c r="G68" s="10"/>
      <c r="H68" s="10"/>
      <c r="I68" s="10" t="s">
        <v>22</v>
      </c>
      <c r="L68" s="10"/>
      <c r="M68" s="237" t="s">
        <v>134</v>
      </c>
      <c r="P68" s="14"/>
      <c r="Q68" s="10"/>
    </row>
    <row r="69" spans="1:23" x14ac:dyDescent="0.2">
      <c r="A69" s="10"/>
      <c r="B69" s="10" t="str">
        <f>IF(H$8=TRUE,I69,M69)</f>
        <v>Tuls
Klasse</v>
      </c>
      <c r="C69" s="10"/>
      <c r="D69" s="10"/>
      <c r="E69" s="10"/>
      <c r="F69" s="10"/>
      <c r="G69" s="10"/>
      <c r="H69" s="10"/>
      <c r="I69" s="10" t="s">
        <v>27</v>
      </c>
      <c r="J69" s="10"/>
      <c r="K69" s="10"/>
      <c r="L69" s="10"/>
      <c r="M69" s="237" t="s">
        <v>312</v>
      </c>
      <c r="N69" s="10"/>
      <c r="O69" s="14"/>
      <c r="P69" s="14"/>
      <c r="Q69" s="10"/>
    </row>
    <row r="70" spans="1:23" x14ac:dyDescent="0.2">
      <c r="A70" s="10"/>
      <c r="B70" s="10" t="str">
        <f>IF(H$8=TRUE,I70,M70)</f>
        <v>Sparring
Klasse</v>
      </c>
      <c r="C70" s="10"/>
      <c r="D70" s="10"/>
      <c r="E70" s="10"/>
      <c r="F70" s="10"/>
      <c r="G70" s="10"/>
      <c r="H70" s="10"/>
      <c r="I70" s="10" t="s">
        <v>28</v>
      </c>
      <c r="J70" s="10"/>
      <c r="K70" s="10"/>
      <c r="L70" s="10"/>
      <c r="M70" s="237" t="s">
        <v>313</v>
      </c>
      <c r="N70" s="10"/>
      <c r="O70" s="14"/>
      <c r="P70" s="14"/>
      <c r="Q70" s="10"/>
    </row>
    <row r="71" spans="1:23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4"/>
      <c r="P71" s="14"/>
      <c r="Q71" s="10"/>
    </row>
    <row r="72" spans="1:23" x14ac:dyDescent="0.2">
      <c r="A72" s="10"/>
      <c r="B72" s="10" t="str">
        <f>_xlfn.CONCAT( IF(H$8=TRUE,I72,M72),TEXT(selectie_mail_date,"dd-mmm-jjjj"))</f>
        <v>Mail Inschrijf formulier voor 03-nov-2024</v>
      </c>
      <c r="C72" s="10"/>
      <c r="D72" s="10"/>
      <c r="E72" s="10"/>
      <c r="F72" s="10"/>
      <c r="G72" s="10"/>
      <c r="H72" s="10"/>
      <c r="I72" s="10" t="s">
        <v>319</v>
      </c>
      <c r="J72" s="10"/>
      <c r="K72" s="10"/>
      <c r="L72" s="10"/>
      <c r="M72" s="10" t="s">
        <v>320</v>
      </c>
      <c r="N72" s="10"/>
      <c r="O72" s="14"/>
      <c r="P72" s="14"/>
      <c r="Q72" s="10"/>
    </row>
    <row r="73" spans="1:23" x14ac:dyDescent="0.2">
      <c r="A73" s="10"/>
      <c r="O73" s="14"/>
      <c r="P73" s="14"/>
      <c r="Q73" s="10"/>
    </row>
    <row r="74" spans="1:23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4"/>
      <c r="P74" s="14"/>
      <c r="Q74" s="10"/>
    </row>
    <row r="75" spans="1:23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4"/>
      <c r="P75" s="14"/>
      <c r="Q75" s="10"/>
    </row>
    <row r="76" spans="1:23" ht="21" x14ac:dyDescent="0.25">
      <c r="A76" s="10"/>
      <c r="B76" s="137" t="s">
        <v>129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4"/>
      <c r="Q76" s="10"/>
    </row>
    <row r="77" spans="1:23" x14ac:dyDescent="0.2">
      <c r="A77" s="10"/>
      <c r="B77" s="10"/>
      <c r="C77" s="10"/>
      <c r="D77" s="10"/>
      <c r="E77" s="10"/>
      <c r="F77" s="10"/>
      <c r="G77" s="10"/>
      <c r="H77" s="10"/>
      <c r="I77" s="10"/>
      <c r="L77" s="10"/>
      <c r="M77" s="10"/>
      <c r="N77" s="10"/>
      <c r="O77" s="10"/>
      <c r="P77" s="14"/>
      <c r="Q77" s="10"/>
      <c r="R77" s="157" t="s">
        <v>231</v>
      </c>
      <c r="S77" s="158" t="s">
        <v>232</v>
      </c>
      <c r="T77" s="158" t="s">
        <v>233</v>
      </c>
      <c r="U77" s="158" t="s">
        <v>234</v>
      </c>
      <c r="V77" s="158" t="s">
        <v>234</v>
      </c>
      <c r="W77" s="159" t="s">
        <v>234</v>
      </c>
    </row>
    <row r="78" spans="1:23" x14ac:dyDescent="0.2">
      <c r="A78" s="10"/>
      <c r="B78" s="339" t="s">
        <v>37</v>
      </c>
      <c r="C78" s="378"/>
      <c r="D78" s="10"/>
      <c r="E78" s="11" t="s">
        <v>38</v>
      </c>
      <c r="F78" s="25" t="s">
        <v>24</v>
      </c>
      <c r="G78" s="25" t="s">
        <v>39</v>
      </c>
      <c r="H78" s="12" t="s">
        <v>9</v>
      </c>
      <c r="I78" s="10"/>
      <c r="J78" s="140" t="s">
        <v>136</v>
      </c>
      <c r="K78" s="141" t="s">
        <v>155</v>
      </c>
      <c r="L78" s="141"/>
      <c r="M78" s="141"/>
      <c r="N78" s="142"/>
      <c r="P78" s="155" t="s">
        <v>136</v>
      </c>
      <c r="Q78" s="156" t="s">
        <v>238</v>
      </c>
      <c r="R78" s="160" t="s">
        <v>133</v>
      </c>
      <c r="S78" s="160" t="s">
        <v>133</v>
      </c>
      <c r="T78" s="160" t="s">
        <v>133</v>
      </c>
      <c r="U78" s="160" t="s">
        <v>235</v>
      </c>
      <c r="V78" s="160" t="s">
        <v>236</v>
      </c>
      <c r="W78" s="161" t="s">
        <v>237</v>
      </c>
    </row>
    <row r="79" spans="1:23" ht="16" x14ac:dyDescent="0.2">
      <c r="A79" s="10"/>
      <c r="B79" s="13" t="s">
        <v>41</v>
      </c>
      <c r="C79" s="379" t="s">
        <v>42</v>
      </c>
      <c r="D79" s="14"/>
      <c r="E79" s="15" t="s">
        <v>43</v>
      </c>
      <c r="F79" s="16">
        <v>1</v>
      </c>
      <c r="G79" s="16">
        <v>1</v>
      </c>
      <c r="H79" s="17" t="s">
        <v>16</v>
      </c>
      <c r="I79" s="10"/>
      <c r="J79" s="143">
        <v>1</v>
      </c>
      <c r="K79" s="150" t="s">
        <v>137</v>
      </c>
      <c r="L79" s="144"/>
      <c r="M79" s="144"/>
      <c r="N79" s="145"/>
      <c r="P79" s="162">
        <v>1</v>
      </c>
      <c r="Q79" s="163" t="s">
        <v>156</v>
      </c>
      <c r="R79" s="162">
        <v>1</v>
      </c>
      <c r="S79" s="162" t="s">
        <v>33</v>
      </c>
      <c r="T79" s="162" t="s">
        <v>14</v>
      </c>
      <c r="U79" s="162">
        <v>0</v>
      </c>
      <c r="V79" s="162">
        <v>24</v>
      </c>
      <c r="W79" s="163" t="b">
        <v>1</v>
      </c>
    </row>
    <row r="80" spans="1:23" ht="16" x14ac:dyDescent="0.2">
      <c r="A80" s="10"/>
      <c r="B80" s="13" t="s">
        <v>44</v>
      </c>
      <c r="C80" s="380"/>
      <c r="D80" s="14"/>
      <c r="E80" s="13" t="s">
        <v>45</v>
      </c>
      <c r="F80" s="19">
        <v>1</v>
      </c>
      <c r="G80" s="19">
        <v>1</v>
      </c>
      <c r="H80" s="20" t="s">
        <v>14</v>
      </c>
      <c r="I80" s="10"/>
      <c r="J80" s="143">
        <f>J79+1</f>
        <v>2</v>
      </c>
      <c r="K80" s="150" t="s">
        <v>138</v>
      </c>
      <c r="L80" s="144"/>
      <c r="M80" s="144"/>
      <c r="N80" s="145"/>
      <c r="P80" s="162">
        <f>P79+1</f>
        <v>2</v>
      </c>
      <c r="Q80" s="163" t="s">
        <v>157</v>
      </c>
      <c r="R80" s="162">
        <v>1</v>
      </c>
      <c r="S80" s="162" t="s">
        <v>33</v>
      </c>
      <c r="T80" s="162" t="s">
        <v>14</v>
      </c>
      <c r="U80" s="162">
        <v>25</v>
      </c>
      <c r="V80" s="162">
        <v>29</v>
      </c>
      <c r="W80" s="163" t="b">
        <v>1</v>
      </c>
    </row>
    <row r="81" spans="1:26" ht="16" x14ac:dyDescent="0.2">
      <c r="A81" s="10"/>
      <c r="B81" s="13" t="s">
        <v>46</v>
      </c>
      <c r="C81" s="380"/>
      <c r="D81" s="14"/>
      <c r="E81" s="13" t="s">
        <v>47</v>
      </c>
      <c r="F81" s="19">
        <v>1</v>
      </c>
      <c r="G81" s="19">
        <v>1</v>
      </c>
      <c r="H81" s="20" t="s">
        <v>12</v>
      </c>
      <c r="I81" s="10"/>
      <c r="J81" s="143">
        <f t="shared" ref="J81:J96" si="3">J80+1</f>
        <v>3</v>
      </c>
      <c r="K81" s="150" t="s">
        <v>139</v>
      </c>
      <c r="L81" s="144"/>
      <c r="M81" s="144"/>
      <c r="N81" s="145"/>
      <c r="P81" s="162">
        <f t="shared" ref="P81:P88" si="4">P80+1</f>
        <v>3</v>
      </c>
      <c r="Q81" s="163" t="s">
        <v>158</v>
      </c>
      <c r="R81" s="162">
        <v>1</v>
      </c>
      <c r="S81" s="162" t="s">
        <v>33</v>
      </c>
      <c r="T81" s="162" t="s">
        <v>14</v>
      </c>
      <c r="U81" s="162">
        <v>30</v>
      </c>
      <c r="V81" s="162">
        <v>34</v>
      </c>
      <c r="W81" s="163" t="b">
        <v>1</v>
      </c>
      <c r="Y81" s="14"/>
      <c r="Z81" s="10"/>
    </row>
    <row r="82" spans="1:26" ht="16" x14ac:dyDescent="0.2">
      <c r="A82" s="10"/>
      <c r="B82" s="13" t="s">
        <v>48</v>
      </c>
      <c r="C82" s="381"/>
      <c r="D82" s="14"/>
      <c r="E82" s="13" t="s">
        <v>49</v>
      </c>
      <c r="F82" s="22">
        <v>1</v>
      </c>
      <c r="G82" s="22">
        <v>1</v>
      </c>
      <c r="H82" s="21" t="s">
        <v>50</v>
      </c>
      <c r="I82" s="10"/>
      <c r="J82" s="143">
        <f t="shared" si="3"/>
        <v>4</v>
      </c>
      <c r="K82" s="150" t="s">
        <v>140</v>
      </c>
      <c r="L82" s="146"/>
      <c r="M82" s="146"/>
      <c r="N82" s="147"/>
      <c r="O82" s="10"/>
      <c r="P82" s="162">
        <f t="shared" si="4"/>
        <v>4</v>
      </c>
      <c r="Q82" s="163" t="s">
        <v>159</v>
      </c>
      <c r="R82" s="162">
        <v>1</v>
      </c>
      <c r="S82" s="162" t="s">
        <v>33</v>
      </c>
      <c r="T82" s="162" t="s">
        <v>14</v>
      </c>
      <c r="U82" s="162">
        <v>35</v>
      </c>
      <c r="V82" s="162">
        <v>39</v>
      </c>
      <c r="W82" s="163" t="b">
        <v>1</v>
      </c>
    </row>
    <row r="83" spans="1:26" ht="18" x14ac:dyDescent="0.2">
      <c r="A83" s="10"/>
      <c r="B83" s="23" t="s">
        <v>51</v>
      </c>
      <c r="C83" s="382" t="s">
        <v>52</v>
      </c>
      <c r="D83" s="14"/>
      <c r="E83" s="13" t="s">
        <v>41</v>
      </c>
      <c r="F83" s="24">
        <v>2</v>
      </c>
      <c r="G83" s="24">
        <v>2</v>
      </c>
      <c r="H83" s="10"/>
      <c r="I83" s="10"/>
      <c r="J83" s="143">
        <f t="shared" si="3"/>
        <v>5</v>
      </c>
      <c r="K83" s="150" t="s">
        <v>141</v>
      </c>
      <c r="L83" s="146"/>
      <c r="M83" s="146"/>
      <c r="N83" s="147"/>
      <c r="O83" s="10"/>
      <c r="P83" s="162">
        <f t="shared" si="4"/>
        <v>5</v>
      </c>
      <c r="Q83" s="163" t="s">
        <v>160</v>
      </c>
      <c r="R83" s="162">
        <v>1</v>
      </c>
      <c r="S83" s="162" t="s">
        <v>33</v>
      </c>
      <c r="T83" s="162" t="s">
        <v>14</v>
      </c>
      <c r="U83" s="162">
        <v>40</v>
      </c>
      <c r="V83" s="162">
        <v>44</v>
      </c>
      <c r="W83" s="163" t="b">
        <v>1</v>
      </c>
    </row>
    <row r="84" spans="1:26" ht="18" x14ac:dyDescent="0.2">
      <c r="A84" s="10"/>
      <c r="B84" s="23" t="s">
        <v>53</v>
      </c>
      <c r="C84" s="380"/>
      <c r="D84" s="14"/>
      <c r="E84" s="13" t="s">
        <v>44</v>
      </c>
      <c r="F84" s="19">
        <v>2</v>
      </c>
      <c r="G84" s="19">
        <v>2</v>
      </c>
      <c r="H84" s="10"/>
      <c r="I84" s="10"/>
      <c r="J84" s="143">
        <f t="shared" si="3"/>
        <v>6</v>
      </c>
      <c r="K84" s="150" t="s">
        <v>142</v>
      </c>
      <c r="L84" s="146"/>
      <c r="M84" s="146"/>
      <c r="N84" s="147"/>
      <c r="O84" s="10"/>
      <c r="P84" s="162">
        <f t="shared" si="4"/>
        <v>6</v>
      </c>
      <c r="Q84" s="163" t="s">
        <v>161</v>
      </c>
      <c r="R84" s="162">
        <v>1</v>
      </c>
      <c r="S84" s="162" t="s">
        <v>33</v>
      </c>
      <c r="T84" s="162" t="s">
        <v>14</v>
      </c>
      <c r="U84" s="162">
        <v>45</v>
      </c>
      <c r="V84" s="162">
        <v>49</v>
      </c>
      <c r="W84" s="163" t="b">
        <v>1</v>
      </c>
    </row>
    <row r="85" spans="1:26" ht="18" x14ac:dyDescent="0.2">
      <c r="A85" s="10"/>
      <c r="B85" s="23" t="s">
        <v>54</v>
      </c>
      <c r="C85" s="380"/>
      <c r="D85" s="14"/>
      <c r="E85" s="13" t="s">
        <v>46</v>
      </c>
      <c r="F85" s="19">
        <v>2</v>
      </c>
      <c r="G85" s="19">
        <v>2</v>
      </c>
      <c r="H85" s="10"/>
      <c r="I85" s="10"/>
      <c r="J85" s="143">
        <f t="shared" si="3"/>
        <v>7</v>
      </c>
      <c r="K85" s="150" t="s">
        <v>143</v>
      </c>
      <c r="L85" s="146"/>
      <c r="M85" s="146"/>
      <c r="N85" s="147"/>
      <c r="O85" s="10"/>
      <c r="P85" s="162">
        <f t="shared" si="4"/>
        <v>7</v>
      </c>
      <c r="Q85" s="163" t="s">
        <v>162</v>
      </c>
      <c r="R85" s="162">
        <v>1</v>
      </c>
      <c r="S85" s="162" t="s">
        <v>33</v>
      </c>
      <c r="T85" s="162" t="s">
        <v>14</v>
      </c>
      <c r="U85" s="162">
        <v>50</v>
      </c>
      <c r="V85" s="162">
        <v>54</v>
      </c>
      <c r="W85" s="163" t="b">
        <v>1</v>
      </c>
    </row>
    <row r="86" spans="1:26" ht="18" x14ac:dyDescent="0.2">
      <c r="A86" s="10"/>
      <c r="B86" s="23" t="s">
        <v>55</v>
      </c>
      <c r="C86" s="380"/>
      <c r="D86" s="14"/>
      <c r="E86" s="13" t="s">
        <v>48</v>
      </c>
      <c r="F86" s="22">
        <v>2</v>
      </c>
      <c r="G86" s="22">
        <v>2</v>
      </c>
      <c r="H86" s="10"/>
      <c r="I86" s="10"/>
      <c r="J86" s="143">
        <f t="shared" si="3"/>
        <v>8</v>
      </c>
      <c r="K86" s="150" t="s">
        <v>144</v>
      </c>
      <c r="L86" s="146"/>
      <c r="M86" s="146"/>
      <c r="N86" s="147"/>
      <c r="O86" s="10"/>
      <c r="P86" s="162">
        <f t="shared" si="4"/>
        <v>8</v>
      </c>
      <c r="Q86" s="163" t="s">
        <v>163</v>
      </c>
      <c r="R86" s="162">
        <v>1</v>
      </c>
      <c r="S86" s="162" t="s">
        <v>33</v>
      </c>
      <c r="T86" s="162" t="s">
        <v>14</v>
      </c>
      <c r="U86" s="162">
        <v>55</v>
      </c>
      <c r="V86" s="162">
        <v>59</v>
      </c>
      <c r="W86" s="163" t="b">
        <v>1</v>
      </c>
    </row>
    <row r="87" spans="1:26" ht="18" x14ac:dyDescent="0.2">
      <c r="A87" s="10"/>
      <c r="B87" s="23" t="s">
        <v>56</v>
      </c>
      <c r="C87" s="380"/>
      <c r="D87" s="14"/>
      <c r="E87" s="23" t="s">
        <v>51</v>
      </c>
      <c r="F87" s="24">
        <v>3</v>
      </c>
      <c r="G87" s="24">
        <v>2</v>
      </c>
      <c r="H87" s="10"/>
      <c r="I87" s="10"/>
      <c r="J87" s="143">
        <f t="shared" si="3"/>
        <v>9</v>
      </c>
      <c r="K87" s="150" t="s">
        <v>145</v>
      </c>
      <c r="L87" s="146"/>
      <c r="M87" s="146"/>
      <c r="N87" s="147"/>
      <c r="O87" s="10"/>
      <c r="P87" s="162">
        <f t="shared" si="4"/>
        <v>9</v>
      </c>
      <c r="Q87" s="163" t="s">
        <v>164</v>
      </c>
      <c r="R87" s="162">
        <v>1</v>
      </c>
      <c r="S87" s="162" t="s">
        <v>33</v>
      </c>
      <c r="T87" s="162" t="s">
        <v>14</v>
      </c>
      <c r="U87" s="162">
        <v>60</v>
      </c>
      <c r="V87" s="162">
        <v>64</v>
      </c>
      <c r="W87" s="163" t="b">
        <v>1</v>
      </c>
    </row>
    <row r="88" spans="1:26" ht="18" x14ac:dyDescent="0.2">
      <c r="A88" s="10"/>
      <c r="B88" s="23" t="s">
        <v>57</v>
      </c>
      <c r="C88" s="380"/>
      <c r="D88" s="14"/>
      <c r="E88" s="23" t="s">
        <v>53</v>
      </c>
      <c r="F88" s="19">
        <v>3</v>
      </c>
      <c r="G88" s="19">
        <v>2</v>
      </c>
      <c r="H88" s="10"/>
      <c r="I88" s="10"/>
      <c r="J88" s="143">
        <f t="shared" si="3"/>
        <v>10</v>
      </c>
      <c r="K88" s="150" t="s">
        <v>146</v>
      </c>
      <c r="L88" s="146"/>
      <c r="M88" s="146"/>
      <c r="N88" s="147"/>
      <c r="O88" s="10"/>
      <c r="P88" s="162">
        <f t="shared" si="4"/>
        <v>10</v>
      </c>
      <c r="Q88" s="163" t="s">
        <v>165</v>
      </c>
      <c r="R88" s="162">
        <v>1</v>
      </c>
      <c r="S88" s="162" t="s">
        <v>33</v>
      </c>
      <c r="T88" s="162" t="s">
        <v>14</v>
      </c>
      <c r="U88" s="162">
        <v>65</v>
      </c>
      <c r="V88" s="162">
        <v>120</v>
      </c>
      <c r="W88" s="163" t="b">
        <v>0</v>
      </c>
    </row>
    <row r="89" spans="1:26" ht="18" x14ac:dyDescent="0.2">
      <c r="A89" s="10"/>
      <c r="B89" s="26" t="s">
        <v>58</v>
      </c>
      <c r="C89" s="383"/>
      <c r="D89" s="14"/>
      <c r="E89" s="23" t="s">
        <v>54</v>
      </c>
      <c r="F89" s="19">
        <v>3</v>
      </c>
      <c r="G89" s="19">
        <v>2</v>
      </c>
      <c r="H89" s="10"/>
      <c r="I89" s="10"/>
      <c r="J89" s="143">
        <f t="shared" si="3"/>
        <v>11</v>
      </c>
      <c r="K89" s="150" t="s">
        <v>147</v>
      </c>
      <c r="L89" s="146"/>
      <c r="M89" s="146"/>
      <c r="N89" s="147"/>
      <c r="O89" s="10"/>
      <c r="P89" s="164">
        <f>P88+1</f>
        <v>11</v>
      </c>
      <c r="Q89" s="154" t="s">
        <v>166</v>
      </c>
      <c r="R89" s="164">
        <v>1</v>
      </c>
      <c r="S89" s="164" t="s">
        <v>33</v>
      </c>
      <c r="T89" s="164" t="s">
        <v>16</v>
      </c>
      <c r="U89" s="164">
        <v>0</v>
      </c>
      <c r="V89" s="164">
        <v>24</v>
      </c>
      <c r="W89" s="154" t="b">
        <v>1</v>
      </c>
    </row>
    <row r="90" spans="1:26" ht="18" x14ac:dyDescent="0.2">
      <c r="A90" s="10"/>
      <c r="B90" s="10"/>
      <c r="C90" s="10"/>
      <c r="D90" s="14"/>
      <c r="E90" s="23" t="s">
        <v>55</v>
      </c>
      <c r="F90" s="19">
        <v>3</v>
      </c>
      <c r="G90" s="19">
        <v>2</v>
      </c>
      <c r="H90" s="10"/>
      <c r="I90" s="10"/>
      <c r="J90" s="143">
        <f t="shared" si="3"/>
        <v>12</v>
      </c>
      <c r="K90" s="150" t="s">
        <v>148</v>
      </c>
      <c r="L90" s="146"/>
      <c r="M90" s="146"/>
      <c r="N90" s="147"/>
      <c r="O90" s="10"/>
      <c r="P90" s="164">
        <f t="shared" ref="P90:P105" si="5">P89+1</f>
        <v>12</v>
      </c>
      <c r="Q90" s="154" t="s">
        <v>167</v>
      </c>
      <c r="R90" s="164">
        <v>1</v>
      </c>
      <c r="S90" s="164" t="s">
        <v>33</v>
      </c>
      <c r="T90" s="164" t="s">
        <v>16</v>
      </c>
      <c r="U90" s="164">
        <v>25</v>
      </c>
      <c r="V90" s="164">
        <v>29</v>
      </c>
      <c r="W90" s="154" t="b">
        <v>1</v>
      </c>
    </row>
    <row r="91" spans="1:26" ht="18" x14ac:dyDescent="0.2">
      <c r="A91" s="10"/>
      <c r="B91" s="10"/>
      <c r="C91" s="10"/>
      <c r="D91" s="14"/>
      <c r="E91" s="23" t="s">
        <v>56</v>
      </c>
      <c r="F91" s="19">
        <v>3</v>
      </c>
      <c r="G91" s="19">
        <v>2</v>
      </c>
      <c r="H91" s="10"/>
      <c r="I91" s="10"/>
      <c r="J91" s="143">
        <f t="shared" si="3"/>
        <v>13</v>
      </c>
      <c r="K91" s="150" t="s">
        <v>149</v>
      </c>
      <c r="L91" s="146"/>
      <c r="M91" s="146"/>
      <c r="N91" s="147"/>
      <c r="O91" s="10"/>
      <c r="P91" s="164">
        <f t="shared" si="5"/>
        <v>13</v>
      </c>
      <c r="Q91" s="154" t="s">
        <v>168</v>
      </c>
      <c r="R91" s="164">
        <v>1</v>
      </c>
      <c r="S91" s="164" t="s">
        <v>33</v>
      </c>
      <c r="T91" s="164" t="s">
        <v>16</v>
      </c>
      <c r="U91" s="164">
        <v>30</v>
      </c>
      <c r="V91" s="164">
        <v>34</v>
      </c>
      <c r="W91" s="154" t="b">
        <v>1</v>
      </c>
    </row>
    <row r="92" spans="1:26" ht="18" x14ac:dyDescent="0.2">
      <c r="A92" s="10"/>
      <c r="B92" s="10"/>
      <c r="C92" s="10"/>
      <c r="D92" s="14"/>
      <c r="E92" s="26" t="s">
        <v>57</v>
      </c>
      <c r="F92" s="27">
        <v>3</v>
      </c>
      <c r="G92" s="27">
        <v>2</v>
      </c>
      <c r="H92" s="10"/>
      <c r="I92" s="10"/>
      <c r="J92" s="143">
        <f t="shared" si="3"/>
        <v>14</v>
      </c>
      <c r="K92" s="150" t="s">
        <v>150</v>
      </c>
      <c r="L92" s="146"/>
      <c r="M92" s="146"/>
      <c r="N92" s="147"/>
      <c r="O92" s="10"/>
      <c r="P92" s="164">
        <f t="shared" si="5"/>
        <v>14</v>
      </c>
      <c r="Q92" s="154" t="s">
        <v>169</v>
      </c>
      <c r="R92" s="164">
        <v>1</v>
      </c>
      <c r="S92" s="164" t="s">
        <v>33</v>
      </c>
      <c r="T92" s="164" t="s">
        <v>16</v>
      </c>
      <c r="U92" s="164">
        <v>35</v>
      </c>
      <c r="V92" s="164">
        <v>39</v>
      </c>
      <c r="W92" s="154" t="b">
        <v>1</v>
      </c>
    </row>
    <row r="93" spans="1:26" x14ac:dyDescent="0.2">
      <c r="A93" s="10"/>
      <c r="B93" s="10"/>
      <c r="C93" s="10"/>
      <c r="D93" s="14"/>
      <c r="E93" s="10"/>
      <c r="F93" s="10"/>
      <c r="G93" s="10"/>
      <c r="H93" s="10"/>
      <c r="I93" s="10"/>
      <c r="J93" s="143">
        <f t="shared" si="3"/>
        <v>15</v>
      </c>
      <c r="K93" s="150" t="s">
        <v>151</v>
      </c>
      <c r="L93" s="146"/>
      <c r="M93" s="146"/>
      <c r="N93" s="147"/>
      <c r="O93" s="10"/>
      <c r="P93" s="164">
        <f t="shared" si="5"/>
        <v>15</v>
      </c>
      <c r="Q93" s="154" t="s">
        <v>170</v>
      </c>
      <c r="R93" s="164">
        <v>1</v>
      </c>
      <c r="S93" s="164" t="s">
        <v>33</v>
      </c>
      <c r="T93" s="164" t="s">
        <v>16</v>
      </c>
      <c r="U93" s="164">
        <v>40</v>
      </c>
      <c r="V93" s="164">
        <v>44</v>
      </c>
      <c r="W93" s="154" t="b">
        <v>1</v>
      </c>
    </row>
    <row r="94" spans="1:26" x14ac:dyDescent="0.2">
      <c r="A94" s="10"/>
      <c r="B94" s="10"/>
      <c r="C94" s="10"/>
      <c r="D94" s="14"/>
      <c r="E94" s="10"/>
      <c r="F94" s="10"/>
      <c r="G94" s="10"/>
      <c r="H94" s="10"/>
      <c r="I94" s="10"/>
      <c r="J94" s="143">
        <f t="shared" si="3"/>
        <v>16</v>
      </c>
      <c r="K94" s="150" t="s">
        <v>152</v>
      </c>
      <c r="L94" s="146"/>
      <c r="M94" s="146"/>
      <c r="N94" s="147"/>
      <c r="O94" s="10"/>
      <c r="P94" s="164">
        <f t="shared" si="5"/>
        <v>16</v>
      </c>
      <c r="Q94" s="154" t="s">
        <v>171</v>
      </c>
      <c r="R94" s="164">
        <v>1</v>
      </c>
      <c r="S94" s="164" t="s">
        <v>33</v>
      </c>
      <c r="T94" s="164" t="s">
        <v>16</v>
      </c>
      <c r="U94" s="164">
        <v>45</v>
      </c>
      <c r="V94" s="164">
        <v>49</v>
      </c>
      <c r="W94" s="154" t="b">
        <v>1</v>
      </c>
    </row>
    <row r="95" spans="1:26" x14ac:dyDescent="0.2">
      <c r="A95" s="10"/>
      <c r="C95" s="10"/>
      <c r="E95" s="10"/>
      <c r="F95" s="239" t="s">
        <v>21</v>
      </c>
      <c r="H95" s="10"/>
      <c r="I95" s="10"/>
      <c r="J95" s="143">
        <f t="shared" si="3"/>
        <v>17</v>
      </c>
      <c r="K95" s="150" t="s">
        <v>153</v>
      </c>
      <c r="L95" s="146"/>
      <c r="M95" s="146"/>
      <c r="N95" s="147"/>
      <c r="O95" s="10"/>
      <c r="P95" s="164">
        <f t="shared" si="5"/>
        <v>17</v>
      </c>
      <c r="Q95" s="154" t="s">
        <v>172</v>
      </c>
      <c r="R95" s="164">
        <v>1</v>
      </c>
      <c r="S95" s="164" t="s">
        <v>33</v>
      </c>
      <c r="T95" s="164" t="s">
        <v>16</v>
      </c>
      <c r="U95" s="164">
        <v>50</v>
      </c>
      <c r="V95" s="164">
        <v>54</v>
      </c>
      <c r="W95" s="154" t="b">
        <v>1</v>
      </c>
    </row>
    <row r="96" spans="1:26" x14ac:dyDescent="0.2">
      <c r="A96" s="10"/>
      <c r="C96" s="10"/>
      <c r="E96" s="10"/>
      <c r="F96" s="240" t="s">
        <v>268</v>
      </c>
      <c r="G96" s="244" t="s">
        <v>263</v>
      </c>
      <c r="H96" s="245" t="s">
        <v>265</v>
      </c>
      <c r="I96" s="10"/>
      <c r="J96" s="152">
        <f t="shared" si="3"/>
        <v>18</v>
      </c>
      <c r="K96" s="151" t="s">
        <v>154</v>
      </c>
      <c r="L96" s="148"/>
      <c r="M96" s="148"/>
      <c r="N96" s="149"/>
      <c r="O96" s="10"/>
      <c r="P96" s="164">
        <f t="shared" si="5"/>
        <v>18</v>
      </c>
      <c r="Q96" s="154" t="s">
        <v>173</v>
      </c>
      <c r="R96" s="164">
        <v>1</v>
      </c>
      <c r="S96" s="164" t="s">
        <v>33</v>
      </c>
      <c r="T96" s="164" t="s">
        <v>16</v>
      </c>
      <c r="U96" s="164">
        <v>55</v>
      </c>
      <c r="V96" s="164">
        <v>59</v>
      </c>
      <c r="W96" s="154" t="b">
        <v>1</v>
      </c>
    </row>
    <row r="97" spans="1:23" x14ac:dyDescent="0.2">
      <c r="A97" s="10"/>
      <c r="C97" s="10"/>
      <c r="E97" s="10"/>
      <c r="F97" s="18" t="str">
        <f>IF(H8=TRUE,G97,H97)</f>
        <v>M</v>
      </c>
      <c r="G97" s="243" t="s">
        <v>33</v>
      </c>
      <c r="H97" s="22" t="s">
        <v>33</v>
      </c>
      <c r="I97" s="10"/>
      <c r="J97" s="10"/>
      <c r="K97" s="10"/>
      <c r="L97" s="10"/>
      <c r="M97" s="10"/>
      <c r="N97" s="10"/>
      <c r="O97" s="10"/>
      <c r="P97" s="164">
        <f t="shared" si="5"/>
        <v>19</v>
      </c>
      <c r="Q97" s="154" t="s">
        <v>174</v>
      </c>
      <c r="R97" s="164">
        <v>1</v>
      </c>
      <c r="S97" s="164" t="s">
        <v>33</v>
      </c>
      <c r="T97" s="164" t="s">
        <v>16</v>
      </c>
      <c r="U97" s="164">
        <v>60</v>
      </c>
      <c r="V97" s="164">
        <v>64</v>
      </c>
      <c r="W97" s="154" t="b">
        <v>1</v>
      </c>
    </row>
    <row r="98" spans="1:23" x14ac:dyDescent="0.2">
      <c r="A98" s="10"/>
      <c r="C98" s="10"/>
      <c r="D98" s="10"/>
      <c r="E98" s="10"/>
      <c r="F98" s="18" t="str">
        <f>IF(H8=TRUE,G98,H98)</f>
        <v>V</v>
      </c>
      <c r="G98" s="241" t="s">
        <v>35</v>
      </c>
      <c r="H98" s="242" t="s">
        <v>321</v>
      </c>
      <c r="I98" s="10"/>
      <c r="J98" s="10"/>
      <c r="K98" s="10"/>
      <c r="L98" s="10"/>
      <c r="M98" s="10"/>
      <c r="N98" s="10"/>
      <c r="O98" s="10"/>
      <c r="P98" s="164">
        <f t="shared" si="5"/>
        <v>20</v>
      </c>
      <c r="Q98" s="154" t="s">
        <v>230</v>
      </c>
      <c r="R98" s="164">
        <v>1</v>
      </c>
      <c r="S98" s="164" t="s">
        <v>33</v>
      </c>
      <c r="T98" s="164" t="s">
        <v>16</v>
      </c>
      <c r="U98" s="164">
        <v>65</v>
      </c>
      <c r="V98" s="164">
        <v>120</v>
      </c>
      <c r="W98" s="154" t="b">
        <v>0</v>
      </c>
    </row>
    <row r="99" spans="1:23" x14ac:dyDescent="0.2">
      <c r="A99" s="10"/>
      <c r="B99" s="10"/>
      <c r="C99" s="10"/>
      <c r="D99" s="14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62">
        <f t="shared" si="5"/>
        <v>21</v>
      </c>
      <c r="Q99" s="163" t="s">
        <v>175</v>
      </c>
      <c r="R99" s="162">
        <v>2</v>
      </c>
      <c r="S99" s="162" t="s">
        <v>35</v>
      </c>
      <c r="T99" s="162" t="s">
        <v>14</v>
      </c>
      <c r="U99" s="162">
        <v>0</v>
      </c>
      <c r="V99" s="162">
        <v>24</v>
      </c>
      <c r="W99" s="163" t="b">
        <v>1</v>
      </c>
    </row>
    <row r="100" spans="1:23" x14ac:dyDescent="0.2">
      <c r="A100" s="10"/>
      <c r="B100" s="10"/>
      <c r="C100" s="10"/>
      <c r="D100" s="14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62">
        <f t="shared" si="5"/>
        <v>22</v>
      </c>
      <c r="Q100" s="163" t="s">
        <v>176</v>
      </c>
      <c r="R100" s="162">
        <v>2</v>
      </c>
      <c r="S100" s="162" t="s">
        <v>35</v>
      </c>
      <c r="T100" s="162" t="s">
        <v>14</v>
      </c>
      <c r="U100" s="162">
        <v>25</v>
      </c>
      <c r="V100" s="162">
        <v>29</v>
      </c>
      <c r="W100" s="163" t="b">
        <v>1</v>
      </c>
    </row>
    <row r="101" spans="1:23" x14ac:dyDescent="0.2">
      <c r="A101" s="10"/>
      <c r="B101" s="10"/>
      <c r="C101" s="10"/>
      <c r="D101" s="14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62">
        <f t="shared" si="5"/>
        <v>23</v>
      </c>
      <c r="Q101" s="163" t="s">
        <v>177</v>
      </c>
      <c r="R101" s="162">
        <v>2</v>
      </c>
      <c r="S101" s="162" t="s">
        <v>35</v>
      </c>
      <c r="T101" s="162" t="s">
        <v>14</v>
      </c>
      <c r="U101" s="162">
        <v>30</v>
      </c>
      <c r="V101" s="162">
        <v>34</v>
      </c>
      <c r="W101" s="163" t="b">
        <v>1</v>
      </c>
    </row>
    <row r="102" spans="1:23" x14ac:dyDescent="0.2">
      <c r="A102" s="10"/>
      <c r="B102" s="10"/>
      <c r="C102" s="10"/>
      <c r="D102" s="14"/>
      <c r="E102" s="10"/>
      <c r="F102" s="10"/>
      <c r="G102" s="10"/>
      <c r="H102" s="10"/>
      <c r="I102" s="10"/>
      <c r="J102" s="10"/>
      <c r="K102" s="10"/>
      <c r="M102" s="10"/>
      <c r="N102" s="10"/>
      <c r="O102" s="10"/>
      <c r="P102" s="162">
        <f t="shared" si="5"/>
        <v>24</v>
      </c>
      <c r="Q102" s="163" t="s">
        <v>178</v>
      </c>
      <c r="R102" s="162">
        <v>2</v>
      </c>
      <c r="S102" s="162" t="s">
        <v>35</v>
      </c>
      <c r="T102" s="162" t="s">
        <v>14</v>
      </c>
      <c r="U102" s="162">
        <v>35</v>
      </c>
      <c r="V102" s="162">
        <v>39</v>
      </c>
      <c r="W102" s="163" t="b">
        <v>1</v>
      </c>
    </row>
    <row r="103" spans="1:23" ht="18" x14ac:dyDescent="0.2">
      <c r="A103" s="10"/>
      <c r="B103" s="139" t="s">
        <v>131</v>
      </c>
      <c r="C103" s="10"/>
      <c r="D103" s="14"/>
      <c r="E103" s="10"/>
      <c r="F103" s="10" t="s">
        <v>329</v>
      </c>
      <c r="G103" s="10"/>
      <c r="H103" s="14">
        <v>7</v>
      </c>
      <c r="I103" s="10"/>
      <c r="J103" s="10" t="s">
        <v>331</v>
      </c>
      <c r="K103" s="10"/>
      <c r="L103" s="291">
        <f>DATE(YEAR(selectie_tournament_date)-H103,MONTH(selectie_tournament_date),DAY(selectie_tournament_date))</f>
        <v>43063</v>
      </c>
      <c r="M103" s="10"/>
      <c r="N103" s="10"/>
      <c r="O103" s="10"/>
      <c r="P103" s="162">
        <f t="shared" si="5"/>
        <v>25</v>
      </c>
      <c r="Q103" s="163" t="s">
        <v>179</v>
      </c>
      <c r="R103" s="162">
        <v>2</v>
      </c>
      <c r="S103" s="162" t="s">
        <v>35</v>
      </c>
      <c r="T103" s="162" t="s">
        <v>14</v>
      </c>
      <c r="U103" s="162">
        <v>40</v>
      </c>
      <c r="V103" s="162">
        <v>44</v>
      </c>
      <c r="W103" s="163" t="b">
        <v>1</v>
      </c>
    </row>
    <row r="104" spans="1:23" x14ac:dyDescent="0.2">
      <c r="A104" s="10"/>
      <c r="C104" s="10"/>
      <c r="D104" s="10"/>
      <c r="E104" s="10"/>
      <c r="F104" s="10"/>
      <c r="G104" s="10"/>
      <c r="H104" s="10"/>
      <c r="I104" s="10"/>
      <c r="J104" s="10" t="s">
        <v>330</v>
      </c>
      <c r="K104" s="10"/>
      <c r="L104" s="291">
        <f>DATE(YEAR(selectie_tournament_date)-100,MONTH(selectie_tournament_date),DAY(selectie_tournament_date))</f>
        <v>9095</v>
      </c>
      <c r="M104" s="10"/>
      <c r="N104" s="10"/>
      <c r="O104" s="10"/>
      <c r="P104" s="162">
        <f t="shared" si="5"/>
        <v>26</v>
      </c>
      <c r="Q104" s="163" t="s">
        <v>180</v>
      </c>
      <c r="R104" s="162">
        <v>2</v>
      </c>
      <c r="S104" s="162" t="s">
        <v>35</v>
      </c>
      <c r="T104" s="162" t="s">
        <v>14</v>
      </c>
      <c r="U104" s="162">
        <v>45</v>
      </c>
      <c r="V104" s="162">
        <v>49</v>
      </c>
      <c r="W104" s="163" t="b">
        <v>1</v>
      </c>
    </row>
    <row r="105" spans="1:23" ht="16" x14ac:dyDescent="0.2">
      <c r="A105" s="10"/>
      <c r="B105" s="28"/>
      <c r="C105" s="10"/>
      <c r="D105" s="10"/>
      <c r="E105" s="10"/>
      <c r="F105" s="10"/>
      <c r="G105" s="10"/>
      <c r="J105" s="10"/>
      <c r="K105" s="10"/>
      <c r="M105" s="10"/>
      <c r="N105" s="10"/>
      <c r="O105" s="10"/>
      <c r="P105" s="162">
        <f t="shared" si="5"/>
        <v>27</v>
      </c>
      <c r="Q105" s="163" t="s">
        <v>181</v>
      </c>
      <c r="R105" s="162">
        <v>2</v>
      </c>
      <c r="S105" s="162" t="s">
        <v>35</v>
      </c>
      <c r="T105" s="162" t="s">
        <v>14</v>
      </c>
      <c r="U105" s="162">
        <v>50</v>
      </c>
      <c r="V105" s="162">
        <v>54</v>
      </c>
      <c r="W105" s="163" t="b">
        <v>1</v>
      </c>
    </row>
    <row r="106" spans="1:23" ht="16" x14ac:dyDescent="0.2">
      <c r="A106" s="10"/>
      <c r="B106" s="28"/>
      <c r="C106" s="375" t="s">
        <v>78</v>
      </c>
      <c r="D106" s="376"/>
      <c r="E106" s="376"/>
      <c r="F106" s="372"/>
      <c r="G106" s="10"/>
      <c r="H106" s="359" t="s">
        <v>241</v>
      </c>
      <c r="I106" s="360"/>
      <c r="J106" s="10"/>
      <c r="K106" s="10"/>
      <c r="L106" s="10"/>
      <c r="M106" s="10"/>
      <c r="N106" s="10"/>
      <c r="O106" s="10"/>
      <c r="P106" s="162">
        <f>P105+1</f>
        <v>28</v>
      </c>
      <c r="Q106" s="163" t="s">
        <v>182</v>
      </c>
      <c r="R106" s="162">
        <v>2</v>
      </c>
      <c r="S106" s="162" t="s">
        <v>35</v>
      </c>
      <c r="T106" s="162" t="s">
        <v>14</v>
      </c>
      <c r="U106" s="162">
        <v>55</v>
      </c>
      <c r="V106" s="162">
        <v>120</v>
      </c>
      <c r="W106" s="163" t="b">
        <v>0</v>
      </c>
    </row>
    <row r="107" spans="1:23" ht="16" x14ac:dyDescent="0.2">
      <c r="A107" s="10"/>
      <c r="B107" s="28"/>
      <c r="C107" s="54">
        <v>14</v>
      </c>
      <c r="D107" s="55" t="s">
        <v>79</v>
      </c>
      <c r="E107" s="55" t="s">
        <v>80</v>
      </c>
      <c r="F107" s="56" t="s">
        <v>81</v>
      </c>
      <c r="G107" s="10"/>
      <c r="H107" s="165" t="s">
        <v>242</v>
      </c>
      <c r="I107" s="166" t="s">
        <v>243</v>
      </c>
      <c r="J107" s="10"/>
      <c r="K107" s="10"/>
      <c r="L107" s="10"/>
      <c r="M107" s="10"/>
      <c r="N107" s="10"/>
      <c r="O107" s="10"/>
      <c r="P107" s="164">
        <f t="shared" ref="P107:P154" si="6">P106+1</f>
        <v>29</v>
      </c>
      <c r="Q107" s="154" t="s">
        <v>183</v>
      </c>
      <c r="R107" s="164">
        <v>2</v>
      </c>
      <c r="S107" s="164" t="s">
        <v>35</v>
      </c>
      <c r="T107" s="164" t="s">
        <v>16</v>
      </c>
      <c r="U107" s="164">
        <v>0</v>
      </c>
      <c r="V107" s="164">
        <v>24</v>
      </c>
      <c r="W107" s="154" t="b">
        <v>1</v>
      </c>
    </row>
    <row r="108" spans="1:23" ht="16" x14ac:dyDescent="0.2">
      <c r="A108" s="10"/>
      <c r="B108" s="28"/>
      <c r="C108" s="57">
        <v>18</v>
      </c>
      <c r="D108" s="58" t="s">
        <v>82</v>
      </c>
      <c r="E108" s="58" t="s">
        <v>83</v>
      </c>
      <c r="F108" s="59" t="s">
        <v>84</v>
      </c>
      <c r="G108" s="10"/>
      <c r="H108" s="167">
        <v>1</v>
      </c>
      <c r="I108" s="168">
        <v>2</v>
      </c>
      <c r="J108" s="10"/>
      <c r="K108" s="10"/>
      <c r="L108" s="10"/>
      <c r="M108" s="10"/>
      <c r="N108" s="10"/>
      <c r="O108" s="10"/>
      <c r="P108" s="164">
        <f t="shared" si="6"/>
        <v>30</v>
      </c>
      <c r="Q108" s="154" t="s">
        <v>184</v>
      </c>
      <c r="R108" s="164">
        <v>2</v>
      </c>
      <c r="S108" s="164" t="s">
        <v>35</v>
      </c>
      <c r="T108" s="164" t="s">
        <v>16</v>
      </c>
      <c r="U108" s="164">
        <v>25</v>
      </c>
      <c r="V108" s="164">
        <v>29</v>
      </c>
      <c r="W108" s="154" t="b">
        <v>1</v>
      </c>
    </row>
    <row r="109" spans="1:23" ht="16" x14ac:dyDescent="0.2">
      <c r="A109" s="10"/>
      <c r="B109" s="28"/>
      <c r="C109" s="60"/>
      <c r="D109" s="61" t="s">
        <v>85</v>
      </c>
      <c r="E109" s="61" t="s">
        <v>83</v>
      </c>
      <c r="F109" s="62" t="s">
        <v>84</v>
      </c>
      <c r="G109" s="10"/>
      <c r="H109" s="169">
        <v>3</v>
      </c>
      <c r="I109" s="170">
        <v>4</v>
      </c>
      <c r="J109" s="10"/>
      <c r="K109" s="10"/>
      <c r="L109" s="10"/>
      <c r="M109" s="10"/>
      <c r="N109" s="10"/>
      <c r="O109" s="10"/>
      <c r="P109" s="164">
        <f t="shared" si="6"/>
        <v>31</v>
      </c>
      <c r="Q109" s="154" t="s">
        <v>185</v>
      </c>
      <c r="R109" s="164">
        <v>2</v>
      </c>
      <c r="S109" s="164" t="s">
        <v>35</v>
      </c>
      <c r="T109" s="164" t="s">
        <v>16</v>
      </c>
      <c r="U109" s="164">
        <v>30</v>
      </c>
      <c r="V109" s="164">
        <v>34</v>
      </c>
      <c r="W109" s="154" t="b">
        <v>1</v>
      </c>
    </row>
    <row r="110" spans="1:23" ht="16" x14ac:dyDescent="0.2">
      <c r="A110" s="10"/>
      <c r="B110" s="28"/>
      <c r="C110" s="10"/>
      <c r="D110" s="10"/>
      <c r="E110" s="10"/>
      <c r="F110" s="10"/>
      <c r="G110" s="10"/>
      <c r="H110" s="171">
        <v>5</v>
      </c>
      <c r="I110" s="172">
        <v>6</v>
      </c>
      <c r="J110" s="10"/>
      <c r="K110" s="10"/>
      <c r="L110" s="10"/>
      <c r="M110" s="10"/>
      <c r="N110" s="10"/>
      <c r="O110" s="10"/>
      <c r="P110" s="164">
        <f t="shared" si="6"/>
        <v>32</v>
      </c>
      <c r="Q110" s="154" t="s">
        <v>186</v>
      </c>
      <c r="R110" s="164">
        <v>2</v>
      </c>
      <c r="S110" s="164" t="s">
        <v>35</v>
      </c>
      <c r="T110" s="164" t="s">
        <v>16</v>
      </c>
      <c r="U110" s="164">
        <v>35</v>
      </c>
      <c r="V110" s="164">
        <v>39</v>
      </c>
      <c r="W110" s="154" t="b">
        <v>1</v>
      </c>
    </row>
    <row r="111" spans="1:23" x14ac:dyDescent="0.2">
      <c r="A111" s="10"/>
      <c r="G111" s="10"/>
      <c r="H111" s="10"/>
      <c r="I111" s="10"/>
      <c r="J111" s="10"/>
      <c r="K111" s="10"/>
      <c r="L111" s="10"/>
      <c r="M111" s="10"/>
      <c r="N111" s="10"/>
      <c r="O111" s="10"/>
      <c r="P111" s="164">
        <f t="shared" si="6"/>
        <v>33</v>
      </c>
      <c r="Q111" s="154" t="s">
        <v>187</v>
      </c>
      <c r="R111" s="164">
        <v>2</v>
      </c>
      <c r="S111" s="164" t="s">
        <v>35</v>
      </c>
      <c r="T111" s="164" t="s">
        <v>16</v>
      </c>
      <c r="U111" s="164">
        <v>40</v>
      </c>
      <c r="V111" s="164">
        <v>44</v>
      </c>
      <c r="W111" s="154" t="b">
        <v>1</v>
      </c>
    </row>
    <row r="112" spans="1:23" x14ac:dyDescent="0.2">
      <c r="A112" s="10"/>
      <c r="C112" s="375" t="s">
        <v>78</v>
      </c>
      <c r="D112" s="376"/>
      <c r="E112" s="376"/>
      <c r="F112" s="372"/>
      <c r="G112" s="10"/>
      <c r="H112" s="10"/>
      <c r="I112" s="10"/>
      <c r="J112" s="10"/>
      <c r="K112" s="10"/>
      <c r="L112" s="10"/>
      <c r="M112" s="10"/>
      <c r="N112" s="10"/>
      <c r="O112" s="10"/>
      <c r="P112" s="164">
        <f t="shared" si="6"/>
        <v>34</v>
      </c>
      <c r="Q112" s="154" t="s">
        <v>188</v>
      </c>
      <c r="R112" s="164">
        <v>2</v>
      </c>
      <c r="S112" s="164" t="s">
        <v>35</v>
      </c>
      <c r="T112" s="164" t="s">
        <v>16</v>
      </c>
      <c r="U112" s="164">
        <v>45</v>
      </c>
      <c r="V112" s="164">
        <v>49</v>
      </c>
      <c r="W112" s="154" t="b">
        <v>1</v>
      </c>
    </row>
    <row r="113" spans="1:23" x14ac:dyDescent="0.2">
      <c r="A113" s="10"/>
      <c r="C113" s="54">
        <v>14</v>
      </c>
      <c r="D113" s="55" t="s">
        <v>118</v>
      </c>
      <c r="E113" s="55" t="s">
        <v>119</v>
      </c>
      <c r="F113" s="56" t="s">
        <v>120</v>
      </c>
      <c r="G113" s="10"/>
      <c r="L113" s="10"/>
      <c r="M113" s="10"/>
      <c r="N113" s="10"/>
      <c r="O113" s="10"/>
      <c r="P113" s="164">
        <f t="shared" si="6"/>
        <v>35</v>
      </c>
      <c r="Q113" s="154" t="s">
        <v>189</v>
      </c>
      <c r="R113" s="164">
        <v>2</v>
      </c>
      <c r="S113" s="164" t="s">
        <v>35</v>
      </c>
      <c r="T113" s="164" t="s">
        <v>16</v>
      </c>
      <c r="U113" s="164">
        <v>50</v>
      </c>
      <c r="V113" s="164">
        <v>54</v>
      </c>
      <c r="W113" s="154" t="b">
        <v>1</v>
      </c>
    </row>
    <row r="114" spans="1:23" x14ac:dyDescent="0.2">
      <c r="A114" s="10"/>
      <c r="C114" s="57">
        <v>18</v>
      </c>
      <c r="D114" s="58" t="s">
        <v>82</v>
      </c>
      <c r="E114" s="58" t="s">
        <v>121</v>
      </c>
      <c r="F114" s="59" t="s">
        <v>122</v>
      </c>
      <c r="G114" s="10"/>
      <c r="L114" s="10"/>
      <c r="M114" s="10"/>
      <c r="N114" s="10"/>
      <c r="O114" s="10"/>
      <c r="P114" s="164">
        <f t="shared" si="6"/>
        <v>36</v>
      </c>
      <c r="Q114" s="154" t="s">
        <v>190</v>
      </c>
      <c r="R114" s="164">
        <v>2</v>
      </c>
      <c r="S114" s="164" t="s">
        <v>35</v>
      </c>
      <c r="T114" s="164" t="s">
        <v>16</v>
      </c>
      <c r="U114" s="164">
        <v>55</v>
      </c>
      <c r="V114" s="164">
        <v>120</v>
      </c>
      <c r="W114" s="154" t="b">
        <v>0</v>
      </c>
    </row>
    <row r="115" spans="1:23" x14ac:dyDescent="0.2">
      <c r="A115" s="10"/>
      <c r="C115" s="60"/>
      <c r="D115" s="61" t="s">
        <v>123</v>
      </c>
      <c r="E115" s="61" t="s">
        <v>121</v>
      </c>
      <c r="F115" s="62" t="s">
        <v>122</v>
      </c>
      <c r="G115" s="10"/>
      <c r="L115" s="10"/>
      <c r="M115" s="10"/>
      <c r="N115" s="10"/>
      <c r="O115" s="10"/>
      <c r="P115" s="162">
        <f t="shared" si="6"/>
        <v>37</v>
      </c>
      <c r="Q115" s="163" t="s">
        <v>191</v>
      </c>
      <c r="R115" s="162">
        <v>3</v>
      </c>
      <c r="S115" s="162" t="s">
        <v>33</v>
      </c>
      <c r="T115" s="162" t="s">
        <v>14</v>
      </c>
      <c r="U115" s="162">
        <v>0</v>
      </c>
      <c r="V115" s="162">
        <v>44</v>
      </c>
      <c r="W115" s="163" t="b">
        <v>1</v>
      </c>
    </row>
    <row r="116" spans="1:23" x14ac:dyDescent="0.2">
      <c r="A116" s="10"/>
      <c r="G116" s="10"/>
      <c r="L116" s="10"/>
      <c r="M116" s="10"/>
      <c r="N116" s="10"/>
      <c r="O116" s="10"/>
      <c r="P116" s="162">
        <f t="shared" si="6"/>
        <v>38</v>
      </c>
      <c r="Q116" s="163" t="s">
        <v>192</v>
      </c>
      <c r="R116" s="162">
        <v>3</v>
      </c>
      <c r="S116" s="162" t="s">
        <v>33</v>
      </c>
      <c r="T116" s="162" t="s">
        <v>14</v>
      </c>
      <c r="U116" s="162">
        <v>45</v>
      </c>
      <c r="V116" s="162">
        <v>50</v>
      </c>
      <c r="W116" s="163" t="b">
        <v>1</v>
      </c>
    </row>
    <row r="117" spans="1:23" ht="16" x14ac:dyDescent="0.2">
      <c r="A117" s="10"/>
      <c r="B117" s="28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62">
        <f t="shared" si="6"/>
        <v>39</v>
      </c>
      <c r="Q117" s="163" t="s">
        <v>193</v>
      </c>
      <c r="R117" s="162">
        <v>3</v>
      </c>
      <c r="S117" s="162" t="s">
        <v>33</v>
      </c>
      <c r="T117" s="162" t="s">
        <v>14</v>
      </c>
      <c r="U117" s="162">
        <v>51</v>
      </c>
      <c r="V117" s="162">
        <v>56</v>
      </c>
      <c r="W117" s="163" t="b">
        <v>1</v>
      </c>
    </row>
    <row r="118" spans="1:23" ht="16" x14ac:dyDescent="0.2">
      <c r="A118" s="10"/>
      <c r="B118" s="28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62">
        <f t="shared" si="6"/>
        <v>40</v>
      </c>
      <c r="Q118" s="163" t="s">
        <v>194</v>
      </c>
      <c r="R118" s="162">
        <v>3</v>
      </c>
      <c r="S118" s="162" t="s">
        <v>33</v>
      </c>
      <c r="T118" s="162" t="s">
        <v>14</v>
      </c>
      <c r="U118" s="162">
        <v>57</v>
      </c>
      <c r="V118" s="162">
        <v>62</v>
      </c>
      <c r="W118" s="163" t="b">
        <v>1</v>
      </c>
    </row>
    <row r="119" spans="1:23" ht="21" x14ac:dyDescent="0.25">
      <c r="A119" s="10"/>
      <c r="B119" s="138" t="s">
        <v>130</v>
      </c>
      <c r="F119" s="10"/>
      <c r="G119" s="10"/>
      <c r="K119" s="10"/>
      <c r="L119" s="10"/>
      <c r="M119" s="10"/>
      <c r="N119" s="10"/>
      <c r="O119" s="10"/>
      <c r="P119" s="162">
        <f t="shared" si="6"/>
        <v>41</v>
      </c>
      <c r="Q119" s="163" t="s">
        <v>195</v>
      </c>
      <c r="R119" s="162">
        <v>3</v>
      </c>
      <c r="S119" s="162" t="s">
        <v>33</v>
      </c>
      <c r="T119" s="162" t="s">
        <v>14</v>
      </c>
      <c r="U119" s="162">
        <v>63</v>
      </c>
      <c r="V119" s="162">
        <v>68</v>
      </c>
      <c r="W119" s="163" t="b">
        <v>1</v>
      </c>
    </row>
    <row r="120" spans="1:23" x14ac:dyDescent="0.2">
      <c r="A120" s="10"/>
      <c r="F120" s="10"/>
      <c r="G120" s="10"/>
      <c r="K120" s="10"/>
      <c r="L120" s="10"/>
      <c r="M120" s="10"/>
      <c r="N120" s="10"/>
      <c r="O120" s="10"/>
      <c r="P120" s="162">
        <f t="shared" si="6"/>
        <v>42</v>
      </c>
      <c r="Q120" s="163" t="s">
        <v>196</v>
      </c>
      <c r="R120" s="162">
        <v>3</v>
      </c>
      <c r="S120" s="162" t="s">
        <v>33</v>
      </c>
      <c r="T120" s="162" t="s">
        <v>14</v>
      </c>
      <c r="U120" s="162">
        <v>69</v>
      </c>
      <c r="V120" s="162">
        <v>120</v>
      </c>
      <c r="W120" s="163" t="b">
        <v>0</v>
      </c>
    </row>
    <row r="121" spans="1:23" x14ac:dyDescent="0.2">
      <c r="A121" s="10"/>
      <c r="B121" s="10"/>
      <c r="C121" s="10"/>
      <c r="D121" s="32"/>
      <c r="E121" s="32"/>
      <c r="F121" s="32"/>
      <c r="G121" s="10"/>
      <c r="K121" s="10"/>
      <c r="L121" s="10"/>
      <c r="M121" s="10"/>
      <c r="N121" s="10"/>
      <c r="O121" s="10"/>
      <c r="P121" s="164">
        <f t="shared" si="6"/>
        <v>43</v>
      </c>
      <c r="Q121" s="154" t="s">
        <v>197</v>
      </c>
      <c r="R121" s="164">
        <v>3</v>
      </c>
      <c r="S121" s="164" t="s">
        <v>33</v>
      </c>
      <c r="T121" s="164" t="s">
        <v>16</v>
      </c>
      <c r="U121" s="164">
        <v>0</v>
      </c>
      <c r="V121" s="164">
        <v>44</v>
      </c>
      <c r="W121" s="154" t="b">
        <v>1</v>
      </c>
    </row>
    <row r="122" spans="1:23" x14ac:dyDescent="0.2">
      <c r="A122" s="10"/>
      <c r="B122" s="359" t="s">
        <v>63</v>
      </c>
      <c r="C122" s="374"/>
      <c r="D122" s="374"/>
      <c r="E122" s="374"/>
      <c r="F122" s="360"/>
      <c r="G122" s="10"/>
      <c r="H122" s="359" t="s">
        <v>72</v>
      </c>
      <c r="I122" s="374"/>
      <c r="J122" s="374"/>
      <c r="K122" s="374"/>
      <c r="L122" s="360"/>
      <c r="M122" s="10"/>
      <c r="N122" s="10"/>
      <c r="O122" s="10"/>
      <c r="P122" s="164">
        <f t="shared" si="6"/>
        <v>44</v>
      </c>
      <c r="Q122" s="154" t="s">
        <v>198</v>
      </c>
      <c r="R122" s="164">
        <v>3</v>
      </c>
      <c r="S122" s="164" t="s">
        <v>33</v>
      </c>
      <c r="T122" s="164" t="s">
        <v>16</v>
      </c>
      <c r="U122" s="164">
        <v>45</v>
      </c>
      <c r="V122" s="164">
        <v>50</v>
      </c>
      <c r="W122" s="154" t="b">
        <v>1</v>
      </c>
    </row>
    <row r="123" spans="1:23" x14ac:dyDescent="0.2">
      <c r="A123" s="10"/>
      <c r="B123" s="36" t="s">
        <v>64</v>
      </c>
      <c r="C123" s="37" t="s">
        <v>65</v>
      </c>
      <c r="D123" s="386" t="s">
        <v>66</v>
      </c>
      <c r="E123" s="386"/>
      <c r="F123" s="387"/>
      <c r="G123" s="10"/>
      <c r="H123" s="36" t="s">
        <v>64</v>
      </c>
      <c r="I123" s="51" t="s">
        <v>73</v>
      </c>
      <c r="J123" s="52"/>
      <c r="K123" s="52"/>
      <c r="L123" s="53"/>
      <c r="M123" s="10"/>
      <c r="N123" s="10"/>
      <c r="O123" s="10"/>
      <c r="P123" s="164">
        <f t="shared" si="6"/>
        <v>45</v>
      </c>
      <c r="Q123" s="154" t="s">
        <v>199</v>
      </c>
      <c r="R123" s="164">
        <v>3</v>
      </c>
      <c r="S123" s="164" t="s">
        <v>33</v>
      </c>
      <c r="T123" s="164" t="s">
        <v>16</v>
      </c>
      <c r="U123" s="164">
        <v>51</v>
      </c>
      <c r="V123" s="164">
        <v>56</v>
      </c>
      <c r="W123" s="154" t="b">
        <v>1</v>
      </c>
    </row>
    <row r="124" spans="1:23" x14ac:dyDescent="0.2">
      <c r="A124" s="10"/>
      <c r="B124" s="38">
        <v>0</v>
      </c>
      <c r="C124" s="39">
        <v>1</v>
      </c>
      <c r="D124" s="40" t="s">
        <v>67</v>
      </c>
      <c r="E124" s="41"/>
      <c r="F124" s="41"/>
      <c r="G124" s="10"/>
      <c r="H124" s="257">
        <v>0</v>
      </c>
      <c r="I124" s="258">
        <v>1</v>
      </c>
      <c r="J124" s="259" t="s">
        <v>74</v>
      </c>
      <c r="K124" s="260"/>
      <c r="L124" s="260"/>
      <c r="M124" s="10"/>
      <c r="N124" s="10"/>
      <c r="O124" s="10"/>
      <c r="P124" s="164">
        <f t="shared" si="6"/>
        <v>46</v>
      </c>
      <c r="Q124" s="154" t="s">
        <v>200</v>
      </c>
      <c r="R124" s="164">
        <v>3</v>
      </c>
      <c r="S124" s="164" t="s">
        <v>33</v>
      </c>
      <c r="T124" s="164" t="s">
        <v>16</v>
      </c>
      <c r="U124" s="164">
        <v>57</v>
      </c>
      <c r="V124" s="164">
        <v>62</v>
      </c>
      <c r="W124" s="154" t="b">
        <v>1</v>
      </c>
    </row>
    <row r="125" spans="1:23" x14ac:dyDescent="0.2">
      <c r="A125" s="10"/>
      <c r="B125" s="42">
        <v>8</v>
      </c>
      <c r="C125" s="43">
        <v>2</v>
      </c>
      <c r="D125" s="44" t="s">
        <v>69</v>
      </c>
      <c r="E125" s="45"/>
      <c r="F125" s="45"/>
      <c r="G125" s="10"/>
      <c r="H125" s="42">
        <v>5</v>
      </c>
      <c r="I125" s="43">
        <v>2</v>
      </c>
      <c r="J125" s="261" t="s">
        <v>75</v>
      </c>
      <c r="K125" s="262"/>
      <c r="L125" s="262"/>
      <c r="M125" s="10"/>
      <c r="N125" s="10"/>
      <c r="O125" s="10"/>
      <c r="P125" s="164">
        <f t="shared" si="6"/>
        <v>47</v>
      </c>
      <c r="Q125" s="154" t="s">
        <v>201</v>
      </c>
      <c r="R125" s="164">
        <v>3</v>
      </c>
      <c r="S125" s="164" t="s">
        <v>33</v>
      </c>
      <c r="T125" s="164" t="s">
        <v>16</v>
      </c>
      <c r="U125" s="164">
        <v>63</v>
      </c>
      <c r="V125" s="164">
        <v>68</v>
      </c>
      <c r="W125" s="154" t="b">
        <v>1</v>
      </c>
    </row>
    <row r="126" spans="1:23" x14ac:dyDescent="0.2">
      <c r="A126" s="10"/>
      <c r="B126" s="47">
        <v>15</v>
      </c>
      <c r="C126" s="48">
        <v>3</v>
      </c>
      <c r="D126" s="49" t="s">
        <v>71</v>
      </c>
      <c r="E126" s="50"/>
      <c r="F126" s="50"/>
      <c r="G126" s="10"/>
      <c r="H126" s="42">
        <v>10</v>
      </c>
      <c r="I126" s="43">
        <v>3</v>
      </c>
      <c r="J126" s="261" t="s">
        <v>77</v>
      </c>
      <c r="K126" s="262"/>
      <c r="L126" s="262"/>
      <c r="M126" s="10"/>
      <c r="N126" s="10"/>
      <c r="O126" s="10"/>
      <c r="P126" s="164">
        <f t="shared" si="6"/>
        <v>48</v>
      </c>
      <c r="Q126" s="154" t="s">
        <v>202</v>
      </c>
      <c r="R126" s="164">
        <v>3</v>
      </c>
      <c r="S126" s="164" t="s">
        <v>33</v>
      </c>
      <c r="T126" s="164" t="s">
        <v>16</v>
      </c>
      <c r="U126" s="164">
        <v>69</v>
      </c>
      <c r="V126" s="164">
        <v>120</v>
      </c>
      <c r="W126" s="154" t="b">
        <v>0</v>
      </c>
    </row>
    <row r="127" spans="1:23" x14ac:dyDescent="0.2">
      <c r="A127" s="10"/>
      <c r="B127" s="10"/>
      <c r="C127" s="10"/>
      <c r="D127" s="10"/>
      <c r="E127" s="10"/>
      <c r="F127" s="10"/>
      <c r="G127" s="10"/>
      <c r="H127" s="263">
        <v>15</v>
      </c>
      <c r="I127" s="264">
        <v>5</v>
      </c>
      <c r="J127" s="265" t="s">
        <v>328</v>
      </c>
      <c r="K127" s="266"/>
      <c r="L127" s="266"/>
      <c r="M127" s="10"/>
      <c r="N127" s="10"/>
      <c r="O127" s="10"/>
      <c r="P127" s="162">
        <f t="shared" si="6"/>
        <v>49</v>
      </c>
      <c r="Q127" s="163" t="s">
        <v>203</v>
      </c>
      <c r="R127" s="162">
        <v>4</v>
      </c>
      <c r="S127" s="162" t="s">
        <v>35</v>
      </c>
      <c r="T127" s="162" t="s">
        <v>14</v>
      </c>
      <c r="U127" s="162">
        <v>0</v>
      </c>
      <c r="V127" s="162">
        <v>39</v>
      </c>
      <c r="W127" s="163" t="b">
        <v>1</v>
      </c>
    </row>
    <row r="128" spans="1:23" x14ac:dyDescent="0.2">
      <c r="A128" s="10"/>
      <c r="K128" s="10"/>
      <c r="L128" s="10"/>
      <c r="M128" s="10"/>
      <c r="N128" s="10"/>
      <c r="O128" s="10"/>
      <c r="P128" s="162">
        <f t="shared" si="6"/>
        <v>50</v>
      </c>
      <c r="Q128" s="163" t="s">
        <v>204</v>
      </c>
      <c r="R128" s="162">
        <v>4</v>
      </c>
      <c r="S128" s="162" t="s">
        <v>35</v>
      </c>
      <c r="T128" s="162" t="s">
        <v>14</v>
      </c>
      <c r="U128" s="162">
        <v>40</v>
      </c>
      <c r="V128" s="162">
        <v>45</v>
      </c>
      <c r="W128" s="163" t="b">
        <v>1</v>
      </c>
    </row>
    <row r="129" spans="1:23" x14ac:dyDescent="0.2">
      <c r="A129" s="10"/>
      <c r="B129" s="404" t="s">
        <v>11</v>
      </c>
      <c r="C129" s="405"/>
      <c r="E129" s="394" t="s">
        <v>263</v>
      </c>
      <c r="F129" s="395"/>
      <c r="G129" s="377" t="s">
        <v>265</v>
      </c>
      <c r="H129" s="372"/>
      <c r="N129" s="10"/>
      <c r="O129" s="10"/>
      <c r="P129" s="162">
        <f t="shared" si="6"/>
        <v>51</v>
      </c>
      <c r="Q129" s="163" t="s">
        <v>205</v>
      </c>
      <c r="R129" s="162">
        <v>4</v>
      </c>
      <c r="S129" s="162" t="s">
        <v>35</v>
      </c>
      <c r="T129" s="162" t="s">
        <v>14</v>
      </c>
      <c r="U129" s="162">
        <v>46</v>
      </c>
      <c r="V129" s="162">
        <v>51</v>
      </c>
      <c r="W129" s="163" t="b">
        <v>1</v>
      </c>
    </row>
    <row r="130" spans="1:23" x14ac:dyDescent="0.2">
      <c r="A130" s="10"/>
      <c r="B130" s="388" t="str">
        <f>IF(H8=TRUE,E130,G130)</f>
        <v>Hoek</v>
      </c>
      <c r="C130" s="389"/>
      <c r="E130" s="396" t="s">
        <v>15</v>
      </c>
      <c r="F130" s="396"/>
      <c r="G130" s="402" t="s">
        <v>322</v>
      </c>
      <c r="H130" s="403"/>
      <c r="N130" s="10"/>
      <c r="O130" s="10"/>
      <c r="P130" s="162">
        <f t="shared" si="6"/>
        <v>52</v>
      </c>
      <c r="Q130" s="163" t="s">
        <v>206</v>
      </c>
      <c r="R130" s="162">
        <v>4</v>
      </c>
      <c r="S130" s="162" t="s">
        <v>35</v>
      </c>
      <c r="T130" s="162" t="s">
        <v>14</v>
      </c>
      <c r="U130" s="162">
        <v>52</v>
      </c>
      <c r="V130" s="162">
        <v>57</v>
      </c>
      <c r="W130" s="163" t="b">
        <v>1</v>
      </c>
    </row>
    <row r="131" spans="1:23" x14ac:dyDescent="0.2">
      <c r="A131" s="10"/>
      <c r="B131" s="390" t="str">
        <f>IF(H8=TRUE,E131,G131)</f>
        <v>Mat</v>
      </c>
      <c r="C131" s="391"/>
      <c r="E131" s="396" t="s">
        <v>13</v>
      </c>
      <c r="F131" s="396"/>
      <c r="G131" s="400" t="s">
        <v>323</v>
      </c>
      <c r="H131" s="401"/>
      <c r="N131" s="10"/>
      <c r="O131" s="10"/>
      <c r="P131" s="162">
        <f t="shared" si="6"/>
        <v>53</v>
      </c>
      <c r="Q131" s="163" t="s">
        <v>207</v>
      </c>
      <c r="R131" s="162">
        <v>4</v>
      </c>
      <c r="S131" s="162" t="s">
        <v>35</v>
      </c>
      <c r="T131" s="162" t="s">
        <v>14</v>
      </c>
      <c r="U131" s="162">
        <v>58</v>
      </c>
      <c r="V131" s="162">
        <v>63</v>
      </c>
      <c r="W131" s="163" t="b">
        <v>1</v>
      </c>
    </row>
    <row r="132" spans="1:23" x14ac:dyDescent="0.2">
      <c r="A132" s="10"/>
      <c r="B132" s="392"/>
      <c r="C132" s="393"/>
      <c r="E132" s="406"/>
      <c r="F132" s="406"/>
      <c r="G132" s="398"/>
      <c r="H132" s="399"/>
      <c r="N132" s="10"/>
      <c r="O132" s="10"/>
      <c r="P132" s="162">
        <f t="shared" si="6"/>
        <v>54</v>
      </c>
      <c r="Q132" s="163" t="s">
        <v>208</v>
      </c>
      <c r="R132" s="162">
        <v>4</v>
      </c>
      <c r="S132" s="162" t="s">
        <v>35</v>
      </c>
      <c r="T132" s="162" t="s">
        <v>14</v>
      </c>
      <c r="U132" s="162">
        <v>64</v>
      </c>
      <c r="V132" s="162">
        <v>120</v>
      </c>
      <c r="W132" s="163" t="b">
        <v>0</v>
      </c>
    </row>
    <row r="133" spans="1:23" x14ac:dyDescent="0.2">
      <c r="A133" s="10"/>
      <c r="N133" s="10"/>
      <c r="O133" s="10"/>
      <c r="P133" s="164">
        <f t="shared" si="6"/>
        <v>55</v>
      </c>
      <c r="Q133" s="154" t="s">
        <v>209</v>
      </c>
      <c r="R133" s="164">
        <v>4</v>
      </c>
      <c r="S133" s="164" t="s">
        <v>35</v>
      </c>
      <c r="T133" s="164" t="s">
        <v>16</v>
      </c>
      <c r="U133" s="164">
        <v>0</v>
      </c>
      <c r="V133" s="164">
        <v>39</v>
      </c>
      <c r="W133" s="154" t="b">
        <v>1</v>
      </c>
    </row>
    <row r="134" spans="1:23" x14ac:dyDescent="0.2">
      <c r="A134" s="10"/>
      <c r="N134" s="10"/>
      <c r="O134" s="10"/>
      <c r="P134" s="164">
        <f t="shared" si="6"/>
        <v>56</v>
      </c>
      <c r="Q134" s="154" t="s">
        <v>210</v>
      </c>
      <c r="R134" s="164">
        <v>4</v>
      </c>
      <c r="S134" s="164" t="s">
        <v>35</v>
      </c>
      <c r="T134" s="164" t="s">
        <v>16</v>
      </c>
      <c r="U134" s="164">
        <v>40</v>
      </c>
      <c r="V134" s="164">
        <v>45</v>
      </c>
      <c r="W134" s="154" t="b">
        <v>1</v>
      </c>
    </row>
    <row r="135" spans="1:23" x14ac:dyDescent="0.2">
      <c r="A135" s="10"/>
      <c r="N135" s="10"/>
      <c r="O135" s="10"/>
      <c r="P135" s="164">
        <f t="shared" si="6"/>
        <v>57</v>
      </c>
      <c r="Q135" s="154" t="s">
        <v>211</v>
      </c>
      <c r="R135" s="164">
        <v>4</v>
      </c>
      <c r="S135" s="164" t="s">
        <v>35</v>
      </c>
      <c r="T135" s="164" t="s">
        <v>16</v>
      </c>
      <c r="U135" s="164">
        <v>46</v>
      </c>
      <c r="V135" s="164">
        <v>51</v>
      </c>
      <c r="W135" s="154" t="b">
        <v>1</v>
      </c>
    </row>
    <row r="136" spans="1:23" ht="21" x14ac:dyDescent="0.25">
      <c r="A136" s="10"/>
      <c r="B136" s="138" t="s">
        <v>101</v>
      </c>
      <c r="K136" s="10"/>
      <c r="L136" s="10"/>
      <c r="M136" s="10"/>
      <c r="N136" s="10"/>
      <c r="O136" s="10"/>
      <c r="P136" s="164">
        <f t="shared" si="6"/>
        <v>58</v>
      </c>
      <c r="Q136" s="154" t="s">
        <v>212</v>
      </c>
      <c r="R136" s="164">
        <v>4</v>
      </c>
      <c r="S136" s="164" t="s">
        <v>35</v>
      </c>
      <c r="T136" s="164" t="s">
        <v>16</v>
      </c>
      <c r="U136" s="164">
        <v>52</v>
      </c>
      <c r="V136" s="164">
        <v>57</v>
      </c>
      <c r="W136" s="154" t="b">
        <v>1</v>
      </c>
    </row>
    <row r="137" spans="1:23" x14ac:dyDescent="0.2">
      <c r="A137" s="10"/>
      <c r="K137" s="10"/>
      <c r="L137" s="10"/>
      <c r="M137" s="10"/>
      <c r="O137" s="10"/>
      <c r="P137" s="164">
        <f t="shared" si="6"/>
        <v>59</v>
      </c>
      <c r="Q137" s="154" t="s">
        <v>213</v>
      </c>
      <c r="R137" s="164">
        <v>4</v>
      </c>
      <c r="S137" s="164" t="s">
        <v>35</v>
      </c>
      <c r="T137" s="164" t="s">
        <v>16</v>
      </c>
      <c r="U137" s="164">
        <v>58</v>
      </c>
      <c r="V137" s="164">
        <v>63</v>
      </c>
      <c r="W137" s="154" t="b">
        <v>1</v>
      </c>
    </row>
    <row r="138" spans="1:23" x14ac:dyDescent="0.2">
      <c r="A138" s="10"/>
      <c r="C138" s="375" t="s">
        <v>60</v>
      </c>
      <c r="D138" s="376"/>
      <c r="E138" s="372"/>
      <c r="G138" s="370" t="s">
        <v>68</v>
      </c>
      <c r="H138" s="371"/>
      <c r="I138" s="372"/>
      <c r="K138" s="375" t="s">
        <v>68</v>
      </c>
      <c r="L138" s="376"/>
      <c r="M138" s="372"/>
      <c r="O138" s="10"/>
      <c r="P138" s="164">
        <f t="shared" si="6"/>
        <v>60</v>
      </c>
      <c r="Q138" s="154" t="s">
        <v>214</v>
      </c>
      <c r="R138" s="164">
        <v>4</v>
      </c>
      <c r="S138" s="164" t="s">
        <v>35</v>
      </c>
      <c r="T138" s="164" t="s">
        <v>16</v>
      </c>
      <c r="U138" s="164">
        <v>64</v>
      </c>
      <c r="V138" s="164">
        <v>120</v>
      </c>
      <c r="W138" s="154" t="b">
        <v>0</v>
      </c>
    </row>
    <row r="139" spans="1:23" x14ac:dyDescent="0.2">
      <c r="A139" s="10"/>
      <c r="B139" s="10"/>
      <c r="C139" s="29">
        <v>20</v>
      </c>
      <c r="D139" s="30" t="s">
        <v>61</v>
      </c>
      <c r="E139" s="31"/>
      <c r="F139" s="10"/>
      <c r="G139" s="46">
        <v>70</v>
      </c>
      <c r="H139" s="373" t="s">
        <v>70</v>
      </c>
      <c r="I139" s="369"/>
      <c r="J139" s="10"/>
      <c r="K139" s="46">
        <v>0</v>
      </c>
      <c r="L139" s="368" t="s">
        <v>76</v>
      </c>
      <c r="M139" s="369"/>
      <c r="O139" s="10"/>
      <c r="P139" s="162">
        <f t="shared" si="6"/>
        <v>61</v>
      </c>
      <c r="Q139" s="163" t="s">
        <v>215</v>
      </c>
      <c r="R139" s="162">
        <v>5</v>
      </c>
      <c r="S139" s="162" t="s">
        <v>33</v>
      </c>
      <c r="T139" s="162" t="s">
        <v>14</v>
      </c>
      <c r="U139" s="162">
        <v>0</v>
      </c>
      <c r="V139" s="162">
        <v>63</v>
      </c>
      <c r="W139" s="163" t="b">
        <v>1</v>
      </c>
    </row>
    <row r="140" spans="1:23" x14ac:dyDescent="0.2">
      <c r="A140" s="10"/>
      <c r="B140" s="10"/>
      <c r="C140" s="33">
        <v>22.5</v>
      </c>
      <c r="D140" s="34" t="s">
        <v>62</v>
      </c>
      <c r="E140" s="35"/>
      <c r="F140" s="10"/>
      <c r="G140" s="10"/>
      <c r="H140" s="10"/>
      <c r="I140" s="10"/>
      <c r="J140" s="10"/>
      <c r="K140" s="10"/>
      <c r="L140" s="10"/>
      <c r="M140" s="10"/>
      <c r="O140" s="10"/>
      <c r="P140" s="162">
        <f t="shared" si="6"/>
        <v>62</v>
      </c>
      <c r="Q140" s="163" t="s">
        <v>216</v>
      </c>
      <c r="R140" s="162">
        <v>5</v>
      </c>
      <c r="S140" s="162" t="s">
        <v>33</v>
      </c>
      <c r="T140" s="162" t="s">
        <v>14</v>
      </c>
      <c r="U140" s="162">
        <v>64</v>
      </c>
      <c r="V140" s="162">
        <v>70</v>
      </c>
      <c r="W140" s="163" t="b">
        <v>1</v>
      </c>
    </row>
    <row r="141" spans="1:23" x14ac:dyDescent="0.2">
      <c r="A141" s="10"/>
      <c r="O141" s="10"/>
      <c r="P141" s="162">
        <f t="shared" si="6"/>
        <v>63</v>
      </c>
      <c r="Q141" s="163" t="s">
        <v>217</v>
      </c>
      <c r="R141" s="162">
        <v>5</v>
      </c>
      <c r="S141" s="162" t="s">
        <v>33</v>
      </c>
      <c r="T141" s="162" t="s">
        <v>14</v>
      </c>
      <c r="U141" s="162">
        <v>71</v>
      </c>
      <c r="V141" s="162">
        <v>77</v>
      </c>
      <c r="W141" s="163" t="b">
        <v>1</v>
      </c>
    </row>
    <row r="142" spans="1:23" x14ac:dyDescent="0.2">
      <c r="A142" s="10"/>
      <c r="O142" s="10"/>
      <c r="P142" s="162">
        <f t="shared" si="6"/>
        <v>64</v>
      </c>
      <c r="Q142" s="163" t="s">
        <v>218</v>
      </c>
      <c r="R142" s="162">
        <v>5</v>
      </c>
      <c r="S142" s="162" t="s">
        <v>33</v>
      </c>
      <c r="T142" s="162" t="s">
        <v>14</v>
      </c>
      <c r="U142" s="162">
        <v>78</v>
      </c>
      <c r="V142" s="162">
        <v>84</v>
      </c>
      <c r="W142" s="163" t="b">
        <v>1</v>
      </c>
    </row>
    <row r="143" spans="1:23" ht="21" x14ac:dyDescent="0.25">
      <c r="A143" s="10"/>
      <c r="B143" s="137" t="s">
        <v>132</v>
      </c>
      <c r="C143" s="10"/>
      <c r="D143" s="10"/>
      <c r="O143" s="10"/>
      <c r="P143" s="162">
        <f t="shared" si="6"/>
        <v>65</v>
      </c>
      <c r="Q143" s="163" t="s">
        <v>239</v>
      </c>
      <c r="R143" s="162">
        <v>5</v>
      </c>
      <c r="S143" s="162" t="s">
        <v>33</v>
      </c>
      <c r="T143" s="162" t="s">
        <v>14</v>
      </c>
      <c r="U143" s="162">
        <v>85</v>
      </c>
      <c r="V143" s="162">
        <v>120</v>
      </c>
      <c r="W143" s="163" t="b">
        <v>0</v>
      </c>
    </row>
    <row r="144" spans="1:23" x14ac:dyDescent="0.2">
      <c r="A144" s="10"/>
      <c r="O144" s="10"/>
      <c r="P144" s="164">
        <f t="shared" si="6"/>
        <v>66</v>
      </c>
      <c r="Q144" s="154" t="s">
        <v>219</v>
      </c>
      <c r="R144" s="164">
        <v>5</v>
      </c>
      <c r="S144" s="164" t="s">
        <v>33</v>
      </c>
      <c r="T144" s="164" t="s">
        <v>16</v>
      </c>
      <c r="U144" s="164">
        <v>0</v>
      </c>
      <c r="V144" s="164">
        <v>63</v>
      </c>
      <c r="W144" s="154" t="b">
        <v>1</v>
      </c>
    </row>
    <row r="145" spans="1:23" x14ac:dyDescent="0.2">
      <c r="A145" s="10"/>
      <c r="C145" s="12" t="s">
        <v>26</v>
      </c>
      <c r="D145" s="10"/>
      <c r="N145" s="10"/>
      <c r="O145" s="10"/>
      <c r="P145" s="164">
        <f t="shared" si="6"/>
        <v>67</v>
      </c>
      <c r="Q145" s="154" t="s">
        <v>220</v>
      </c>
      <c r="R145" s="164">
        <v>5</v>
      </c>
      <c r="S145" s="164" t="s">
        <v>33</v>
      </c>
      <c r="T145" s="164" t="s">
        <v>16</v>
      </c>
      <c r="U145" s="164">
        <v>64</v>
      </c>
      <c r="V145" s="164">
        <v>70</v>
      </c>
      <c r="W145" s="154" t="b">
        <v>1</v>
      </c>
    </row>
    <row r="146" spans="1:23" x14ac:dyDescent="0.2">
      <c r="A146" s="10"/>
      <c r="C146" s="14">
        <v>15</v>
      </c>
      <c r="D146" s="10" t="s">
        <v>115</v>
      </c>
      <c r="O146" s="10"/>
      <c r="P146" s="164">
        <f t="shared" si="6"/>
        <v>68</v>
      </c>
      <c r="Q146" s="154" t="s">
        <v>221</v>
      </c>
      <c r="R146" s="164">
        <v>5</v>
      </c>
      <c r="S146" s="164" t="s">
        <v>33</v>
      </c>
      <c r="T146" s="164" t="s">
        <v>16</v>
      </c>
      <c r="U146" s="164">
        <v>71</v>
      </c>
      <c r="V146" s="164">
        <v>77</v>
      </c>
      <c r="W146" s="154" t="b">
        <v>1</v>
      </c>
    </row>
    <row r="147" spans="1:23" x14ac:dyDescent="0.2">
      <c r="A147" s="10"/>
      <c r="C147" s="14">
        <v>120</v>
      </c>
      <c r="D147" s="10" t="s">
        <v>116</v>
      </c>
      <c r="O147" s="10"/>
      <c r="P147" s="164">
        <f t="shared" si="6"/>
        <v>69</v>
      </c>
      <c r="Q147" s="154" t="s">
        <v>262</v>
      </c>
      <c r="R147" s="164">
        <v>5</v>
      </c>
      <c r="S147" s="164" t="s">
        <v>33</v>
      </c>
      <c r="T147" s="164" t="s">
        <v>16</v>
      </c>
      <c r="U147" s="164">
        <v>78</v>
      </c>
      <c r="V147" s="164">
        <v>84</v>
      </c>
      <c r="W147" s="154" t="b">
        <v>1</v>
      </c>
    </row>
    <row r="148" spans="1:23" x14ac:dyDescent="0.2">
      <c r="A148" s="10"/>
      <c r="O148" s="10"/>
      <c r="P148" s="164">
        <f t="shared" si="6"/>
        <v>70</v>
      </c>
      <c r="Q148" s="154" t="s">
        <v>240</v>
      </c>
      <c r="R148" s="164">
        <v>5</v>
      </c>
      <c r="S148" s="164" t="s">
        <v>33</v>
      </c>
      <c r="T148" s="164" t="s">
        <v>16</v>
      </c>
      <c r="U148" s="164">
        <v>85</v>
      </c>
      <c r="V148" s="164">
        <v>120</v>
      </c>
      <c r="W148" s="154" t="b">
        <v>0</v>
      </c>
    </row>
    <row r="149" spans="1:23" ht="16" thickBot="1" x14ac:dyDescent="0.25">
      <c r="A149" s="10"/>
      <c r="O149" s="10"/>
      <c r="P149" s="162">
        <f t="shared" si="6"/>
        <v>71</v>
      </c>
      <c r="Q149" s="163" t="s">
        <v>222</v>
      </c>
      <c r="R149" s="162">
        <v>6</v>
      </c>
      <c r="S149" s="162" t="s">
        <v>35</v>
      </c>
      <c r="T149" s="162" t="s">
        <v>14</v>
      </c>
      <c r="U149" s="162">
        <v>0</v>
      </c>
      <c r="V149" s="162">
        <v>56</v>
      </c>
      <c r="W149" s="163" t="b">
        <v>1</v>
      </c>
    </row>
    <row r="150" spans="1:23" ht="16" thickTop="1" x14ac:dyDescent="0.2">
      <c r="A150" s="10"/>
      <c r="B150" s="10"/>
      <c r="C150" s="364" t="s">
        <v>79</v>
      </c>
      <c r="D150" s="365"/>
      <c r="E150" s="365"/>
      <c r="F150" s="366"/>
      <c r="G150" s="356" t="s">
        <v>86</v>
      </c>
      <c r="H150" s="357"/>
      <c r="I150" s="357"/>
      <c r="J150" s="358"/>
      <c r="K150" s="356" t="s">
        <v>87</v>
      </c>
      <c r="L150" s="357"/>
      <c r="M150" s="357"/>
      <c r="N150" s="358"/>
      <c r="O150" s="10"/>
      <c r="P150" s="162">
        <f t="shared" si="6"/>
        <v>72</v>
      </c>
      <c r="Q150" s="163" t="s">
        <v>223</v>
      </c>
      <c r="R150" s="162">
        <v>6</v>
      </c>
      <c r="S150" s="162" t="s">
        <v>35</v>
      </c>
      <c r="T150" s="162" t="s">
        <v>14</v>
      </c>
      <c r="U150" s="162">
        <v>57</v>
      </c>
      <c r="V150" s="162">
        <v>62</v>
      </c>
      <c r="W150" s="163" t="b">
        <v>1</v>
      </c>
    </row>
    <row r="151" spans="1:23" x14ac:dyDescent="0.2">
      <c r="A151" s="10"/>
      <c r="B151" s="10"/>
      <c r="C151" s="361" t="s">
        <v>80</v>
      </c>
      <c r="D151" s="362"/>
      <c r="E151" s="363" t="s">
        <v>81</v>
      </c>
      <c r="F151" s="355"/>
      <c r="G151" s="361" t="s">
        <v>83</v>
      </c>
      <c r="H151" s="362"/>
      <c r="I151" s="363" t="s">
        <v>84</v>
      </c>
      <c r="J151" s="355"/>
      <c r="K151" s="361" t="s">
        <v>83</v>
      </c>
      <c r="L151" s="367"/>
      <c r="M151" s="354" t="s">
        <v>84</v>
      </c>
      <c r="N151" s="355"/>
      <c r="O151" s="10"/>
      <c r="P151" s="162">
        <f t="shared" si="6"/>
        <v>73</v>
      </c>
      <c r="Q151" s="163" t="s">
        <v>224</v>
      </c>
      <c r="R151" s="162">
        <v>6</v>
      </c>
      <c r="S151" s="162" t="s">
        <v>35</v>
      </c>
      <c r="T151" s="162" t="s">
        <v>14</v>
      </c>
      <c r="U151" s="162">
        <v>63</v>
      </c>
      <c r="V151" s="162">
        <v>120</v>
      </c>
      <c r="W151" s="163" t="b">
        <v>0</v>
      </c>
    </row>
    <row r="152" spans="1:23" x14ac:dyDescent="0.2">
      <c r="A152" s="10"/>
      <c r="B152" s="14" t="s">
        <v>88</v>
      </c>
      <c r="C152" s="192">
        <v>5</v>
      </c>
      <c r="D152" s="193"/>
      <c r="E152" s="204">
        <v>5</v>
      </c>
      <c r="F152" s="205"/>
      <c r="G152" s="192">
        <v>6</v>
      </c>
      <c r="H152" s="193"/>
      <c r="I152" s="204">
        <v>6</v>
      </c>
      <c r="J152" s="205"/>
      <c r="K152" s="192">
        <v>7</v>
      </c>
      <c r="L152" s="201"/>
      <c r="M152" s="211">
        <v>6</v>
      </c>
      <c r="N152" s="212"/>
      <c r="O152" s="10"/>
      <c r="P152" s="164">
        <f t="shared" si="6"/>
        <v>74</v>
      </c>
      <c r="Q152" s="154" t="s">
        <v>225</v>
      </c>
      <c r="R152" s="164">
        <v>6</v>
      </c>
      <c r="S152" s="164" t="s">
        <v>35</v>
      </c>
      <c r="T152" s="164" t="s">
        <v>16</v>
      </c>
      <c r="U152" s="164">
        <v>0</v>
      </c>
      <c r="V152" s="164">
        <v>56</v>
      </c>
      <c r="W152" s="154" t="b">
        <v>1</v>
      </c>
    </row>
    <row r="153" spans="1:23" x14ac:dyDescent="0.2">
      <c r="A153" s="10"/>
      <c r="B153" s="10"/>
      <c r="C153" s="194" t="s">
        <v>234</v>
      </c>
      <c r="D153" s="195" t="s">
        <v>133</v>
      </c>
      <c r="E153" s="206" t="s">
        <v>234</v>
      </c>
      <c r="F153" s="207" t="s">
        <v>133</v>
      </c>
      <c r="G153" s="194" t="s">
        <v>234</v>
      </c>
      <c r="H153" s="195" t="s">
        <v>133</v>
      </c>
      <c r="I153" s="206" t="s">
        <v>234</v>
      </c>
      <c r="J153" s="207" t="s">
        <v>133</v>
      </c>
      <c r="K153" s="194" t="s">
        <v>234</v>
      </c>
      <c r="L153" s="202" t="s">
        <v>133</v>
      </c>
      <c r="M153" s="213" t="s">
        <v>234</v>
      </c>
      <c r="N153" s="214" t="s">
        <v>133</v>
      </c>
      <c r="O153" s="10"/>
      <c r="P153" s="164">
        <f t="shared" si="6"/>
        <v>75</v>
      </c>
      <c r="Q153" s="154" t="s">
        <v>226</v>
      </c>
      <c r="R153" s="164">
        <v>6</v>
      </c>
      <c r="S153" s="164" t="s">
        <v>35</v>
      </c>
      <c r="T153" s="164" t="s">
        <v>16</v>
      </c>
      <c r="U153" s="164">
        <v>57</v>
      </c>
      <c r="V153" s="164">
        <v>62</v>
      </c>
      <c r="W153" s="154" t="b">
        <v>1</v>
      </c>
    </row>
    <row r="154" spans="1:23" x14ac:dyDescent="0.2">
      <c r="A154" s="10"/>
      <c r="C154" s="196">
        <v>25</v>
      </c>
      <c r="D154" s="197">
        <v>1</v>
      </c>
      <c r="E154" s="208">
        <v>25</v>
      </c>
      <c r="F154" s="209">
        <v>1</v>
      </c>
      <c r="G154" s="196">
        <v>45</v>
      </c>
      <c r="H154" s="197">
        <v>1</v>
      </c>
      <c r="I154" s="208">
        <v>40</v>
      </c>
      <c r="J154" s="209">
        <v>1</v>
      </c>
      <c r="K154" s="196">
        <v>64</v>
      </c>
      <c r="L154" s="203">
        <v>1</v>
      </c>
      <c r="M154" s="215">
        <v>57</v>
      </c>
      <c r="N154" s="216">
        <v>1</v>
      </c>
      <c r="O154" s="10"/>
      <c r="P154" s="164">
        <f t="shared" si="6"/>
        <v>76</v>
      </c>
      <c r="Q154" s="154" t="s">
        <v>227</v>
      </c>
      <c r="R154" s="164">
        <v>6</v>
      </c>
      <c r="S154" s="164" t="s">
        <v>35</v>
      </c>
      <c r="T154" s="164" t="s">
        <v>16</v>
      </c>
      <c r="U154" s="164">
        <v>63</v>
      </c>
      <c r="V154" s="164">
        <v>120</v>
      </c>
      <c r="W154" s="154" t="b">
        <v>0</v>
      </c>
    </row>
    <row r="155" spans="1:23" x14ac:dyDescent="0.2">
      <c r="A155" s="10"/>
      <c r="C155" s="198">
        <f t="shared" ref="C155:C162" si="7">C$152+C154</f>
        <v>30</v>
      </c>
      <c r="D155" s="197">
        <v>2</v>
      </c>
      <c r="E155" s="210">
        <f t="shared" ref="E155:E160" si="8">E$152+E154</f>
        <v>30</v>
      </c>
      <c r="F155" s="209">
        <v>2</v>
      </c>
      <c r="G155" s="198">
        <f>G$152+G154</f>
        <v>51</v>
      </c>
      <c r="H155" s="197">
        <v>2</v>
      </c>
      <c r="I155" s="210">
        <f>I$152+I154</f>
        <v>46</v>
      </c>
      <c r="J155" s="209">
        <v>2</v>
      </c>
      <c r="K155" s="198">
        <f>K$152+K154</f>
        <v>71</v>
      </c>
      <c r="L155" s="203">
        <v>2</v>
      </c>
      <c r="M155" s="217">
        <f>M$152+M154</f>
        <v>63</v>
      </c>
      <c r="N155" s="216">
        <v>2</v>
      </c>
      <c r="O155" s="10"/>
      <c r="P155" s="6">
        <v>77</v>
      </c>
      <c r="Q155" t="s">
        <v>228</v>
      </c>
      <c r="R155" s="6">
        <v>7</v>
      </c>
      <c r="S155" s="6" t="s">
        <v>33</v>
      </c>
      <c r="T155" s="6" t="s">
        <v>16</v>
      </c>
      <c r="U155" s="6">
        <v>4</v>
      </c>
      <c r="V155" s="6">
        <v>6</v>
      </c>
      <c r="W155" t="b">
        <v>1</v>
      </c>
    </row>
    <row r="156" spans="1:23" x14ac:dyDescent="0.2">
      <c r="A156" s="10"/>
      <c r="C156" s="198">
        <f t="shared" si="7"/>
        <v>35</v>
      </c>
      <c r="D156" s="197">
        <v>3</v>
      </c>
      <c r="E156" s="210">
        <f t="shared" si="8"/>
        <v>35</v>
      </c>
      <c r="F156" s="209">
        <v>3</v>
      </c>
      <c r="G156" s="198">
        <f>G$152+G155</f>
        <v>57</v>
      </c>
      <c r="H156" s="197">
        <v>3</v>
      </c>
      <c r="I156" s="210">
        <f>I$152+I155</f>
        <v>52</v>
      </c>
      <c r="J156" s="209">
        <v>3</v>
      </c>
      <c r="K156" s="198">
        <f>K$152+K155</f>
        <v>78</v>
      </c>
      <c r="L156" s="203">
        <v>3</v>
      </c>
      <c r="M156" s="186"/>
      <c r="N156" s="185"/>
      <c r="O156" s="10"/>
      <c r="P156" s="6">
        <v>78</v>
      </c>
      <c r="Q156" t="s">
        <v>229</v>
      </c>
      <c r="R156" s="6">
        <v>7</v>
      </c>
      <c r="S156" s="6" t="s">
        <v>33</v>
      </c>
      <c r="T156" s="6" t="s">
        <v>16</v>
      </c>
      <c r="U156" s="6">
        <v>4</v>
      </c>
      <c r="V156" s="6">
        <v>6</v>
      </c>
      <c r="W156" t="b">
        <v>0</v>
      </c>
    </row>
    <row r="157" spans="1:23" x14ac:dyDescent="0.2">
      <c r="A157" s="10"/>
      <c r="C157" s="198">
        <f t="shared" si="7"/>
        <v>40</v>
      </c>
      <c r="D157" s="197">
        <v>4</v>
      </c>
      <c r="E157" s="210">
        <f t="shared" si="8"/>
        <v>40</v>
      </c>
      <c r="F157" s="209">
        <v>4</v>
      </c>
      <c r="G157" s="198">
        <f>G$152+G156</f>
        <v>63</v>
      </c>
      <c r="H157" s="197">
        <v>4</v>
      </c>
      <c r="I157" s="210">
        <f>I$152+I156</f>
        <v>58</v>
      </c>
      <c r="J157" s="209">
        <v>4</v>
      </c>
      <c r="K157" s="198">
        <f>K$152+K156</f>
        <v>85</v>
      </c>
      <c r="L157" s="203">
        <v>4</v>
      </c>
      <c r="M157" s="187"/>
      <c r="N157" s="185"/>
      <c r="O157" s="10"/>
      <c r="P157" s="6">
        <v>79</v>
      </c>
      <c r="Q157" t="s">
        <v>230</v>
      </c>
      <c r="R157" s="6">
        <v>1</v>
      </c>
      <c r="S157" s="6" t="s">
        <v>33</v>
      </c>
      <c r="T157" s="6" t="s">
        <v>16</v>
      </c>
      <c r="U157" s="6">
        <v>65</v>
      </c>
      <c r="V157" s="6">
        <v>120</v>
      </c>
      <c r="W157" t="b">
        <v>1</v>
      </c>
    </row>
    <row r="158" spans="1:23" x14ac:dyDescent="0.2">
      <c r="A158" s="10"/>
      <c r="C158" s="198">
        <f t="shared" si="7"/>
        <v>45</v>
      </c>
      <c r="D158" s="197">
        <v>5</v>
      </c>
      <c r="E158" s="210">
        <f t="shared" si="8"/>
        <v>45</v>
      </c>
      <c r="F158" s="209">
        <v>5</v>
      </c>
      <c r="G158" s="198">
        <f>G$152+G157</f>
        <v>69</v>
      </c>
      <c r="H158" s="197">
        <v>5</v>
      </c>
      <c r="I158" s="210">
        <f>I$152+I157</f>
        <v>64</v>
      </c>
      <c r="J158" s="209">
        <v>5</v>
      </c>
      <c r="K158" s="173"/>
      <c r="L158" s="183"/>
      <c r="M158" s="187"/>
      <c r="N158" s="185"/>
      <c r="O158" s="10"/>
      <c r="P158" s="14"/>
      <c r="Q158" s="10"/>
    </row>
    <row r="159" spans="1:23" x14ac:dyDescent="0.2">
      <c r="A159" s="10"/>
      <c r="C159" s="198">
        <f t="shared" si="7"/>
        <v>50</v>
      </c>
      <c r="D159" s="197">
        <v>6</v>
      </c>
      <c r="E159" s="210">
        <f t="shared" si="8"/>
        <v>50</v>
      </c>
      <c r="F159" s="209">
        <v>6</v>
      </c>
      <c r="G159" s="173"/>
      <c r="H159" s="176"/>
      <c r="I159" s="175"/>
      <c r="J159" s="179"/>
      <c r="K159" s="173"/>
      <c r="L159" s="184"/>
      <c r="M159" s="187"/>
      <c r="N159" s="188"/>
      <c r="O159" s="10"/>
      <c r="P159" s="14"/>
      <c r="Q159" s="10"/>
    </row>
    <row r="160" spans="1:23" x14ac:dyDescent="0.2">
      <c r="A160" s="10"/>
      <c r="C160" s="198">
        <f t="shared" si="7"/>
        <v>55</v>
      </c>
      <c r="D160" s="197">
        <v>7</v>
      </c>
      <c r="E160" s="210">
        <f t="shared" si="8"/>
        <v>55</v>
      </c>
      <c r="F160" s="209">
        <v>7</v>
      </c>
      <c r="G160" s="173"/>
      <c r="H160" s="176"/>
      <c r="I160" s="175"/>
      <c r="J160" s="179"/>
      <c r="K160" s="181"/>
      <c r="L160" s="184"/>
      <c r="M160" s="187"/>
      <c r="N160" s="188"/>
      <c r="O160" s="10"/>
      <c r="P160" s="14"/>
      <c r="Q160" s="10"/>
    </row>
    <row r="161" spans="1:17" x14ac:dyDescent="0.2">
      <c r="A161" s="10"/>
      <c r="C161" s="198">
        <f t="shared" si="7"/>
        <v>60</v>
      </c>
      <c r="D161" s="197">
        <v>8</v>
      </c>
      <c r="E161" s="175"/>
      <c r="F161" s="179"/>
      <c r="G161" s="173"/>
      <c r="H161" s="176"/>
      <c r="I161" s="175"/>
      <c r="J161" s="179"/>
      <c r="K161" s="181"/>
      <c r="L161" s="184"/>
      <c r="M161" s="187"/>
      <c r="N161" s="188"/>
      <c r="O161" s="10"/>
      <c r="P161" s="14"/>
      <c r="Q161" s="10"/>
    </row>
    <row r="162" spans="1:17" ht="16" thickBot="1" x14ac:dyDescent="0.25">
      <c r="A162" s="10"/>
      <c r="B162" s="14">
        <v>9</v>
      </c>
      <c r="C162" s="199">
        <f t="shared" si="7"/>
        <v>65</v>
      </c>
      <c r="D162" s="200">
        <v>9</v>
      </c>
      <c r="E162" s="177"/>
      <c r="F162" s="180"/>
      <c r="G162" s="174"/>
      <c r="H162" s="178"/>
      <c r="I162" s="177"/>
      <c r="J162" s="180"/>
      <c r="K162" s="182"/>
      <c r="L162" s="190"/>
      <c r="M162" s="189"/>
      <c r="N162" s="191"/>
      <c r="O162" s="10"/>
      <c r="P162" s="14"/>
      <c r="Q162" s="10"/>
    </row>
    <row r="163" spans="1:17" ht="16" thickTop="1" x14ac:dyDescent="0.2">
      <c r="A163" s="10"/>
      <c r="B163" s="10"/>
      <c r="C163" s="14"/>
      <c r="D163" s="14"/>
      <c r="E163" s="14"/>
      <c r="F163" s="14"/>
      <c r="G163" s="14"/>
      <c r="H163" s="14"/>
      <c r="I163" s="10"/>
      <c r="K163" s="10"/>
      <c r="M163" s="10"/>
      <c r="N163" s="10"/>
      <c r="O163" s="10"/>
      <c r="P163" s="14"/>
      <c r="Q163" s="10"/>
    </row>
    <row r="164" spans="1:17" x14ac:dyDescent="0.2">
      <c r="A164" s="10"/>
      <c r="N164" s="10"/>
      <c r="O164" s="10"/>
      <c r="P164" s="14"/>
      <c r="Q164" s="10"/>
    </row>
    <row r="165" spans="1:17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4"/>
      <c r="Q165" s="10"/>
    </row>
    <row r="166" spans="1:17" x14ac:dyDescent="0.2">
      <c r="A166" s="10"/>
      <c r="B166" s="10"/>
      <c r="C166" s="10" t="s">
        <v>251</v>
      </c>
      <c r="D166" s="10" t="s">
        <v>250</v>
      </c>
      <c r="E166" s="10"/>
      <c r="F166" s="10"/>
      <c r="G166" s="10"/>
      <c r="H166" s="10"/>
      <c r="I166" s="10" t="s">
        <v>258</v>
      </c>
      <c r="J166" s="10"/>
      <c r="K166" s="10" t="s">
        <v>260</v>
      </c>
      <c r="L166" s="10" t="s">
        <v>259</v>
      </c>
      <c r="M166" s="10"/>
      <c r="N166" s="10"/>
      <c r="O166" s="10"/>
      <c r="P166" s="14"/>
      <c r="Q166" s="10"/>
    </row>
    <row r="167" spans="1:17" x14ac:dyDescent="0.2">
      <c r="A167" s="10"/>
      <c r="C167" s="14">
        <v>1</v>
      </c>
      <c r="D167" t="s">
        <v>244</v>
      </c>
      <c r="E167" s="14"/>
      <c r="G167" s="14"/>
      <c r="I167" s="105" t="s">
        <v>255</v>
      </c>
      <c r="K167" s="14">
        <f>COUNTA(D154:D162)+1</f>
        <v>10</v>
      </c>
      <c r="L167">
        <v>1</v>
      </c>
      <c r="M167" s="14"/>
      <c r="N167" s="10"/>
      <c r="O167" s="10"/>
      <c r="P167" s="14"/>
      <c r="Q167" s="10"/>
    </row>
    <row r="168" spans="1:17" x14ac:dyDescent="0.2">
      <c r="A168" s="10"/>
      <c r="B168" s="10"/>
      <c r="C168" s="14">
        <v>2</v>
      </c>
      <c r="D168" s="10" t="s">
        <v>245</v>
      </c>
      <c r="E168" s="14"/>
      <c r="F168" s="14"/>
      <c r="G168" s="10"/>
      <c r="H168" s="10"/>
      <c r="I168" s="105" t="s">
        <v>255</v>
      </c>
      <c r="J168" s="10"/>
      <c r="K168" s="14">
        <f>COUNTA(F154:F162)+1</f>
        <v>8</v>
      </c>
      <c r="L168" s="10">
        <f>L167+(COUNTA(D154:D162)+1)*2</f>
        <v>21</v>
      </c>
      <c r="M168" s="10"/>
      <c r="N168" s="10"/>
      <c r="O168" s="10"/>
      <c r="P168" s="14"/>
      <c r="Q168" s="10"/>
    </row>
    <row r="169" spans="1:17" x14ac:dyDescent="0.2">
      <c r="A169" s="10"/>
      <c r="B169" s="10"/>
      <c r="C169" s="14">
        <v>3</v>
      </c>
      <c r="D169" t="s">
        <v>246</v>
      </c>
      <c r="E169" s="14"/>
      <c r="F169" s="14"/>
      <c r="G169" s="10"/>
      <c r="H169" s="10"/>
      <c r="I169" s="105" t="s">
        <v>256</v>
      </c>
      <c r="J169" s="10"/>
      <c r="K169" s="14">
        <f>COUNTA(H154:H162)+1</f>
        <v>6</v>
      </c>
      <c r="L169" s="10">
        <f>L168+(COUNTA(F154:F162)+1)*2</f>
        <v>37</v>
      </c>
      <c r="M169" s="10"/>
      <c r="N169" s="10"/>
      <c r="O169" s="10"/>
      <c r="P169" s="14"/>
      <c r="Q169" s="10"/>
    </row>
    <row r="170" spans="1:17" x14ac:dyDescent="0.2">
      <c r="A170" s="10"/>
      <c r="B170" s="10"/>
      <c r="C170" s="14">
        <v>4</v>
      </c>
      <c r="D170" t="s">
        <v>248</v>
      </c>
      <c r="E170" s="10"/>
      <c r="F170" s="10"/>
      <c r="G170" s="10"/>
      <c r="H170" s="10"/>
      <c r="I170" s="105" t="s">
        <v>256</v>
      </c>
      <c r="J170" s="10"/>
      <c r="K170" s="14">
        <f>COUNTA(J154:J162)+1</f>
        <v>6</v>
      </c>
      <c r="L170" s="10">
        <f>L169+(COUNTA(H154:H162)+1)*2</f>
        <v>49</v>
      </c>
      <c r="M170" s="10"/>
      <c r="N170" s="10"/>
      <c r="O170" s="10"/>
      <c r="P170" s="14"/>
      <c r="Q170" s="10"/>
    </row>
    <row r="171" spans="1:17" x14ac:dyDescent="0.2">
      <c r="A171" s="10"/>
      <c r="B171" s="10"/>
      <c r="C171" s="14">
        <v>5</v>
      </c>
      <c r="D171" t="s">
        <v>247</v>
      </c>
      <c r="E171" s="10"/>
      <c r="F171" s="10"/>
      <c r="G171" s="10"/>
      <c r="H171" s="10"/>
      <c r="I171" s="10" t="s">
        <v>257</v>
      </c>
      <c r="J171" s="10"/>
      <c r="K171" s="14">
        <f>COUNTA(L154:L162)+1</f>
        <v>5</v>
      </c>
      <c r="L171" s="10">
        <f>L170+(COUNTA(J154:J162)+1)*2</f>
        <v>61</v>
      </c>
      <c r="M171" s="10"/>
      <c r="N171" s="10"/>
      <c r="O171" s="10"/>
      <c r="P171" s="14"/>
      <c r="Q171" s="10"/>
    </row>
    <row r="172" spans="1:17" x14ac:dyDescent="0.2">
      <c r="A172" s="10"/>
      <c r="B172" s="10"/>
      <c r="C172" s="14">
        <v>6</v>
      </c>
      <c r="D172" t="s">
        <v>249</v>
      </c>
      <c r="E172" s="10"/>
      <c r="F172" s="10"/>
      <c r="G172" s="10"/>
      <c r="H172" s="10"/>
      <c r="I172" s="10" t="s">
        <v>257</v>
      </c>
      <c r="J172" s="10"/>
      <c r="K172" s="14">
        <f>COUNTA(N154:N162)+1</f>
        <v>3</v>
      </c>
      <c r="L172" s="10">
        <f>L171+(COUNTA(L154:L162)+1)*2</f>
        <v>71</v>
      </c>
      <c r="M172" s="10"/>
      <c r="N172" s="10"/>
      <c r="O172" s="10"/>
      <c r="P172" s="14"/>
      <c r="Q172" s="10"/>
    </row>
    <row r="173" spans="1:17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4"/>
      <c r="Q173" s="10"/>
    </row>
    <row r="174" spans="1:17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4"/>
      <c r="Q174" s="10"/>
    </row>
    <row r="175" spans="1:17" x14ac:dyDescent="0.2">
      <c r="A175" s="10"/>
      <c r="O175" s="10"/>
      <c r="P175" s="14"/>
      <c r="Q175" s="10"/>
    </row>
    <row r="176" spans="1:17" x14ac:dyDescent="0.2">
      <c r="A176" s="10"/>
      <c r="O176" s="10"/>
      <c r="P176" s="14"/>
      <c r="Q176" s="10"/>
    </row>
    <row r="177" spans="1:17" x14ac:dyDescent="0.2">
      <c r="A177" s="10"/>
      <c r="O177" s="10"/>
      <c r="P177" s="14"/>
      <c r="Q177" s="10"/>
    </row>
    <row r="178" spans="1:17" x14ac:dyDescent="0.2">
      <c r="A178" s="10"/>
      <c r="O178" s="10"/>
      <c r="P178" s="14"/>
      <c r="Q178" s="10"/>
    </row>
    <row r="179" spans="1:17" x14ac:dyDescent="0.2">
      <c r="A179" s="10"/>
      <c r="O179" s="10"/>
      <c r="P179" s="14"/>
      <c r="Q179" s="10"/>
    </row>
    <row r="180" spans="1:17" x14ac:dyDescent="0.2">
      <c r="A180" s="10"/>
      <c r="O180" s="10"/>
      <c r="P180" s="14"/>
      <c r="Q180" s="10"/>
    </row>
    <row r="181" spans="1:17" x14ac:dyDescent="0.2">
      <c r="A181" s="10"/>
      <c r="O181" s="10"/>
      <c r="P181" s="14"/>
      <c r="Q181" s="10"/>
    </row>
    <row r="182" spans="1:17" x14ac:dyDescent="0.2">
      <c r="A182" s="10"/>
      <c r="O182" s="10"/>
      <c r="P182" s="14"/>
      <c r="Q182" s="10"/>
    </row>
    <row r="183" spans="1:17" x14ac:dyDescent="0.2">
      <c r="A183" s="10"/>
      <c r="O183" s="10"/>
      <c r="P183" s="63"/>
      <c r="Q183" s="10"/>
    </row>
    <row r="184" spans="1:17" x14ac:dyDescent="0.2">
      <c r="A184" s="10"/>
      <c r="O184" s="10"/>
      <c r="P184" s="14"/>
      <c r="Q184" s="10"/>
    </row>
    <row r="185" spans="1:17" x14ac:dyDescent="0.2">
      <c r="A185" s="10"/>
      <c r="O185" s="10"/>
      <c r="P185" s="14"/>
      <c r="Q185" s="10"/>
    </row>
    <row r="186" spans="1:17" x14ac:dyDescent="0.2">
      <c r="A186" s="10"/>
      <c r="O186" s="10"/>
      <c r="P186" s="14"/>
      <c r="Q186" s="10"/>
    </row>
    <row r="187" spans="1:17" x14ac:dyDescent="0.2">
      <c r="A187" s="10"/>
      <c r="O187" s="10"/>
      <c r="P187" s="14"/>
      <c r="Q187" s="10"/>
    </row>
    <row r="188" spans="1:17" x14ac:dyDescent="0.2">
      <c r="A188" s="10"/>
      <c r="O188" s="10"/>
      <c r="P188" s="14"/>
      <c r="Q188" s="10"/>
    </row>
    <row r="189" spans="1:17" x14ac:dyDescent="0.2">
      <c r="A189" s="10"/>
      <c r="O189" s="10"/>
      <c r="P189" s="14"/>
      <c r="Q189" s="10"/>
    </row>
    <row r="190" spans="1:17" x14ac:dyDescent="0.2">
      <c r="A190" s="10"/>
      <c r="O190" s="10"/>
      <c r="P190" s="14"/>
      <c r="Q190" s="10"/>
    </row>
    <row r="191" spans="1:17" x14ac:dyDescent="0.2">
      <c r="A191" s="10"/>
      <c r="O191" s="10"/>
      <c r="P191" s="14"/>
      <c r="Q191" s="10"/>
    </row>
    <row r="192" spans="1:17" x14ac:dyDescent="0.2">
      <c r="A192" s="10"/>
      <c r="O192" s="10"/>
      <c r="P192" s="14"/>
      <c r="Q192" s="10"/>
    </row>
    <row r="193" spans="1:17" x14ac:dyDescent="0.2">
      <c r="A193" s="10"/>
      <c r="O193" s="10"/>
      <c r="P193" s="14"/>
      <c r="Q193" s="10"/>
    </row>
    <row r="194" spans="1:17" x14ac:dyDescent="0.2">
      <c r="A194" s="10"/>
      <c r="O194" s="10"/>
      <c r="P194" s="14"/>
      <c r="Q194" s="10"/>
    </row>
    <row r="195" spans="1:17" x14ac:dyDescent="0.2">
      <c r="A195" s="10"/>
      <c r="O195" s="10"/>
      <c r="P195" s="14"/>
      <c r="Q195" s="10"/>
    </row>
    <row r="196" spans="1:17" x14ac:dyDescent="0.2">
      <c r="A196" s="10"/>
      <c r="O196" s="10"/>
      <c r="P196" s="14"/>
      <c r="Q196" s="10"/>
    </row>
    <row r="197" spans="1:17" x14ac:dyDescent="0.2">
      <c r="A197" s="10"/>
      <c r="O197" s="10"/>
      <c r="P197" s="14"/>
      <c r="Q197" s="10"/>
    </row>
    <row r="198" spans="1:17" x14ac:dyDescent="0.2">
      <c r="A198" s="10"/>
      <c r="O198" s="10"/>
      <c r="P198" s="14"/>
      <c r="Q198" s="10"/>
    </row>
    <row r="199" spans="1:17" x14ac:dyDescent="0.2">
      <c r="A199" s="10"/>
      <c r="O199" s="10"/>
      <c r="P199" s="14"/>
      <c r="Q199" s="10"/>
    </row>
    <row r="200" spans="1:17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4"/>
      <c r="Q200" s="10"/>
    </row>
    <row r="201" spans="1:17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4"/>
      <c r="Q201" s="10"/>
    </row>
    <row r="202" spans="1:17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4"/>
      <c r="Q202" s="10"/>
    </row>
    <row r="203" spans="1:17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4"/>
      <c r="Q203" s="10"/>
    </row>
    <row r="204" spans="1:17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4"/>
      <c r="Q204" s="10"/>
    </row>
    <row r="205" spans="1:17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4"/>
      <c r="Q205" s="10"/>
    </row>
    <row r="206" spans="1:17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4"/>
      <c r="Q206" s="10"/>
    </row>
    <row r="207" spans="1:17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4"/>
      <c r="Q207" s="10"/>
    </row>
    <row r="208" spans="1:17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4"/>
      <c r="Q208" s="10"/>
    </row>
    <row r="209" spans="1:17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4"/>
      <c r="Q209" s="10"/>
    </row>
    <row r="210" spans="1:17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4"/>
      <c r="Q210" s="10"/>
    </row>
    <row r="211" spans="1:17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4"/>
      <c r="Q211" s="10"/>
    </row>
  </sheetData>
  <sheetProtection algorithmName="SHA-512" hashValue="iIFp9VSKNW7nntKTErOR7ZMY+AiaW8y5uvoqxcg5uvaDRYcAylVxyjgiroIjR7rDwQsUG7ztRz6uoJyQuYJ7mQ==" saltValue="QXaIZOvisUe1+08eqQ9w+A==" spinCount="100000" sheet="1" selectLockedCells="1" selectUnlockedCells="1"/>
  <mergeCells count="44">
    <mergeCell ref="G132:H132"/>
    <mergeCell ref="G131:H131"/>
    <mergeCell ref="G130:H130"/>
    <mergeCell ref="B129:C129"/>
    <mergeCell ref="E131:F131"/>
    <mergeCell ref="E132:F132"/>
    <mergeCell ref="L8:M8"/>
    <mergeCell ref="G7:H7"/>
    <mergeCell ref="J7:K7"/>
    <mergeCell ref="J8:K8"/>
    <mergeCell ref="D7:E7"/>
    <mergeCell ref="L7:M7"/>
    <mergeCell ref="B7:C7"/>
    <mergeCell ref="C138:E138"/>
    <mergeCell ref="B78:C78"/>
    <mergeCell ref="C79:C82"/>
    <mergeCell ref="C83:C89"/>
    <mergeCell ref="C106:F106"/>
    <mergeCell ref="B8:C8"/>
    <mergeCell ref="B122:F122"/>
    <mergeCell ref="D123:F123"/>
    <mergeCell ref="C112:F112"/>
    <mergeCell ref="D8:E8"/>
    <mergeCell ref="B130:C130"/>
    <mergeCell ref="B131:C131"/>
    <mergeCell ref="B132:C132"/>
    <mergeCell ref="E129:F129"/>
    <mergeCell ref="E130:F130"/>
    <mergeCell ref="M151:N151"/>
    <mergeCell ref="G150:J150"/>
    <mergeCell ref="K150:N150"/>
    <mergeCell ref="H106:I106"/>
    <mergeCell ref="C151:D151"/>
    <mergeCell ref="E151:F151"/>
    <mergeCell ref="C150:F150"/>
    <mergeCell ref="G151:H151"/>
    <mergeCell ref="I151:J151"/>
    <mergeCell ref="K151:L151"/>
    <mergeCell ref="L139:M139"/>
    <mergeCell ref="G138:I138"/>
    <mergeCell ref="H139:I139"/>
    <mergeCell ref="H122:L122"/>
    <mergeCell ref="K138:M138"/>
    <mergeCell ref="G129:H129"/>
  </mergeCells>
  <conditionalFormatting sqref="H8:H9">
    <cfRule type="expression" dxfId="1" priority="1">
      <formula>AND($H$8&lt;&gt;$H$9,H8=TRUE)</formula>
    </cfRule>
    <cfRule type="expression" dxfId="0" priority="2">
      <formula>$H$8=$H$9</formula>
    </cfRule>
  </conditionalFormatting>
  <dataValidations disablePrompts="1" count="1">
    <dataValidation type="list" allowBlank="1" showInputMessage="1" showErrorMessage="1" sqref="J8:M8" xr:uid="{2989A584-5DFA-4C06-9911-56BB661502A2}">
      <formula1>$P$9:$P$10</formula1>
    </dataValidation>
  </dataValidations>
  <hyperlinks>
    <hyperlink ref="C4" r:id="rId1" xr:uid="{98EB8838-DB85-47FF-90CD-42298ABE510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48</vt:i4>
      </vt:variant>
    </vt:vector>
  </HeadingPairs>
  <TitlesOfParts>
    <vt:vector size="50" baseType="lpstr">
      <vt:lpstr>Taekyon Toernooi</vt:lpstr>
      <vt:lpstr>Selecties</vt:lpstr>
      <vt:lpstr>Inschrijf_geld_dubbel_item</vt:lpstr>
      <vt:lpstr>Inschrijf_geld_single_item</vt:lpstr>
      <vt:lpstr>Selectie_copyright</vt:lpstr>
      <vt:lpstr>Selectie_Geslacht</vt:lpstr>
      <vt:lpstr>Selectie_Gewicht</vt:lpstr>
      <vt:lpstr>Selectie_graduatie_deelnemers</vt:lpstr>
      <vt:lpstr>Selectie_graduatie_range</vt:lpstr>
      <vt:lpstr>Selectie_graduatie_range_names</vt:lpstr>
      <vt:lpstr>Selectie_graduatie_scheids</vt:lpstr>
      <vt:lpstr>Selectie_JN</vt:lpstr>
      <vt:lpstr>Selectie_Licentie</vt:lpstr>
      <vt:lpstr>Selectie_mail</vt:lpstr>
      <vt:lpstr>selectie_mail_date</vt:lpstr>
      <vt:lpstr>selectie_onwaar</vt:lpstr>
      <vt:lpstr>selectie_spar_names_range</vt:lpstr>
      <vt:lpstr>selectie_tournament_date</vt:lpstr>
      <vt:lpstr>Selectie_Voorkeur</vt:lpstr>
      <vt:lpstr>selectie_waar</vt:lpstr>
      <vt:lpstr>selectie_weight_range_jeugd_jongens_range</vt:lpstr>
      <vt:lpstr>selectie_weight_range_jeugd_meisjes_range</vt:lpstr>
      <vt:lpstr>selectie_weight_range_junior_dames_range</vt:lpstr>
      <vt:lpstr>selectie_weight_range_junior_heren_range</vt:lpstr>
      <vt:lpstr>selectie_weight_range_senior_dames_range</vt:lpstr>
      <vt:lpstr>selectie_weight_range_senior_heren_range</vt:lpstr>
      <vt:lpstr>selectie_weight_ranges</vt:lpstr>
      <vt:lpstr>Selecties_boetes_on</vt:lpstr>
      <vt:lpstr>Selecties_ja</vt:lpstr>
      <vt:lpstr>Selecties_kosten_on</vt:lpstr>
      <vt:lpstr>Selecties_Leeftijd_junior_min</vt:lpstr>
      <vt:lpstr>Selecties_Leeftijd_senior_min</vt:lpstr>
      <vt:lpstr>Selecties_name_jeugd_m</vt:lpstr>
      <vt:lpstr>Selecties_name_jeugd_v</vt:lpstr>
      <vt:lpstr>Selecties_name_junior_m</vt:lpstr>
      <vt:lpstr>Selecties_name_junior_v</vt:lpstr>
      <vt:lpstr>Selecties_name_senior_m</vt:lpstr>
      <vt:lpstr>Selecties_name_senior_v</vt:lpstr>
      <vt:lpstr>Selecties_nee</vt:lpstr>
      <vt:lpstr>Selection_leeft_class_Jeugd</vt:lpstr>
      <vt:lpstr>Selection_leeft_class_Junior</vt:lpstr>
      <vt:lpstr>Selection_leeft_class_Senior</vt:lpstr>
      <vt:lpstr>tk_coach_boete</vt:lpstr>
      <vt:lpstr>tk_deeln_roepnaam</vt:lpstr>
      <vt:lpstr>tk_nr__coach_toegestaan</vt:lpstr>
      <vt:lpstr>tk_nr_coach</vt:lpstr>
      <vt:lpstr>tk_nr_deelnemers</vt:lpstr>
      <vt:lpstr>tk_nr_Scheids</vt:lpstr>
      <vt:lpstr>tk_nr_scheids_verplicht</vt:lpstr>
      <vt:lpstr>tk_scheids_boete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Registratie formulier Taekyon Berghem 2018</dc:title>
  <dc:creator>Geert van Nunen</dc:creator>
  <cp:lastModifiedBy>Willy van de Mortel</cp:lastModifiedBy>
  <dcterms:created xsi:type="dcterms:W3CDTF">2017-09-09T14:41:43Z</dcterms:created>
  <dcterms:modified xsi:type="dcterms:W3CDTF">2024-10-23T08:23:18Z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FileSave" visible="true"/>
      </mso:documentControls>
    </mso:qat>
  </mso:ribbon>
</mso:customUI>
</file>